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bbcce8115a09e36/Documentos/EPE 40na/Atividades/PDE 2031/Workbook para Patricia Nunes_2022_02_09/"/>
    </mc:Choice>
  </mc:AlternateContent>
  <xr:revisionPtr revIDLastSave="1090" documentId="11_4E37FA908AB8B1FDDEDF92D09CA5F3DDC8B2152D" xr6:coauthVersionLast="47" xr6:coauthVersionMax="47" xr10:uidLastSave="{256FCCC4-9DC9-4BEB-B63D-B8C6CB769808}"/>
  <bookViews>
    <workbookView xWindow="-108" yWindow="-108" windowWidth="23256" windowHeight="12456" tabRatio="835" firstSheet="4" activeTab="19" xr2:uid="{00000000-000D-0000-FFFF-FFFF00000000}"/>
  </bookViews>
  <sheets>
    <sheet name="Sumário Cap.XI" sheetId="84" r:id="rId1"/>
    <sheet name="T11-1" sheetId="44" r:id="rId2"/>
    <sheet name="G11-1" sheetId="73" r:id="rId3"/>
    <sheet name="T11-2" sheetId="41" r:id="rId4"/>
    <sheet name="G11-2" sheetId="45" r:id="rId5"/>
    <sheet name="G11-3" sheetId="54" r:id="rId6"/>
    <sheet name="T11-3" sheetId="62" r:id="rId7"/>
    <sheet name="G11-4" sheetId="74" r:id="rId8"/>
    <sheet name="T11-4" sheetId="79" r:id="rId9"/>
    <sheet name="G11-4 OCULTO" sheetId="72" state="hidden" r:id="rId10"/>
    <sheet name="G11-5 OCULTO" sheetId="71" state="hidden" r:id="rId11"/>
    <sheet name="G11-5" sheetId="76" r:id="rId12"/>
    <sheet name="T11-5" sheetId="46" r:id="rId13"/>
    <sheet name="T11-6" sheetId="66" r:id="rId14"/>
    <sheet name="T11-7" sheetId="52" r:id="rId15"/>
    <sheet name="Tabela 7rev" sheetId="61" state="hidden" r:id="rId16"/>
    <sheet name="Geração de eletricidade_vP" sheetId="63" state="hidden" r:id="rId17"/>
    <sheet name="T11-8" sheetId="81" r:id="rId18"/>
    <sheet name="T11-9" sheetId="80" r:id="rId19"/>
    <sheet name="T11-10" sheetId="65" r:id="rId20"/>
    <sheet name="T11-11" sheetId="82" r:id="rId21"/>
    <sheet name="T11-12" sheetId="64" r:id="rId22"/>
  </sheets>
  <externalReferences>
    <externalReference r:id="rId23"/>
  </externalReferences>
  <definedNames>
    <definedName name="_Hlk254947195" localSheetId="19">'T11-10'!#REF!</definedName>
    <definedName name="_Hlk254947195" localSheetId="15">'Tabela 7rev'!$A$70</definedName>
    <definedName name="_Ref255145047" localSheetId="19">'T11-10'!#REF!</definedName>
    <definedName name="_Ref255145047" localSheetId="15">'Tabela 7rev'!$A$56</definedName>
    <definedName name="_Toc21530258" localSheetId="3">'T11-2'!$A$2</definedName>
    <definedName name="_Toc21530260" localSheetId="8">'T11-4'!$A$2</definedName>
    <definedName name="_Toc21530263" localSheetId="13">'T11-6'!$A$2</definedName>
    <definedName name="_Toc21530264" localSheetId="14">'T11-7'!$A$2</definedName>
    <definedName name="_Toc21530265" localSheetId="17">'T11-8'!$A$2</definedName>
    <definedName name="_Toc21530266" localSheetId="18">'T11-9'!$A$2</definedName>
    <definedName name="_Toc21530267" localSheetId="19">'T11-10'!$A$2</definedName>
    <definedName name="_Toc21530268" localSheetId="20">'T11-11'!$A$2</definedName>
    <definedName name="_Toc21530269" localSheetId="21">'T11-12'!$A$2</definedName>
    <definedName name="_Toc21530413" localSheetId="4">'G11-2'!$A$2</definedName>
    <definedName name="_Toc524000143" localSheetId="5">'G11-3'!$A$2</definedName>
    <definedName name="_Toc524359163" localSheetId="6">'T11-3'!$A$2</definedName>
    <definedName name="a" localSheetId="2">'[1]Cons. veíc.'!#REF!</definedName>
    <definedName name="a" localSheetId="9">'[1]Cons. veíc.'!#REF!</definedName>
    <definedName name="a" localSheetId="16">'[1]Cons. veíc.'!#REF!</definedName>
    <definedName name="a">'[1]Cons. veíc.'!#REF!</definedName>
    <definedName name="_xlnm.Print_Area" localSheetId="16">'Geração de eletricidade_vP'!$A$1:$K$21</definedName>
    <definedName name="_xlnm.Criteria" localSheetId="2">'[1]Demanda sumário'!#REF!</definedName>
    <definedName name="_xlnm.Criteria" localSheetId="9">'[1]Demanda sumário'!#REF!</definedName>
    <definedName name="_xlnm.Criteria" localSheetId="16">'[1]Demanda sumário'!#REF!</definedName>
    <definedName name="_xlnm.Criteria">'[1]Demanda sumário'!#REF!</definedName>
    <definedName name="OLE_LINK7" localSheetId="19">'T11-10'!$A$14</definedName>
    <definedName name="OLE_LINK7" localSheetId="15">'Tabela 7rev'!$A$12</definedName>
    <definedName name="x" localSheetId="2">'[1]Cons. veíc.'!#REF!</definedName>
    <definedName name="x" localSheetId="9">'[1]Cons. veíc.'!#REF!</definedName>
    <definedName name="x" localSheetId="16">'[1]Cons. veíc.'!#REF!</definedName>
    <definedName name="x">'[1]Cons. veíc.'!#REF!</definedName>
    <definedName name="xxx" localSheetId="2">[1]Ajustes!#REF!</definedName>
    <definedName name="xxx" localSheetId="9">[1]Ajustes!#REF!</definedName>
    <definedName name="xxx" localSheetId="16">[1]Ajustes!#REF!</definedName>
    <definedName name="xxx">[1]Ajustes!#REF!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" i="54" l="1"/>
  <c r="R7" i="54"/>
  <c r="T13" i="54" l="1"/>
  <c r="R13" i="54"/>
  <c r="R18" i="54" s="1"/>
  <c r="T7" i="54"/>
  <c r="S8" i="54" l="1"/>
  <c r="S11" i="54"/>
  <c r="S15" i="54"/>
  <c r="S16" i="54"/>
  <c r="S12" i="54"/>
  <c r="S9" i="54"/>
  <c r="S10" i="54"/>
  <c r="S14" i="54"/>
  <c r="T18" i="54"/>
  <c r="S17" i="54"/>
  <c r="S13" i="54" l="1"/>
  <c r="U9" i="54"/>
  <c r="U15" i="54"/>
  <c r="U11" i="54"/>
  <c r="U17" i="54"/>
  <c r="U10" i="54"/>
  <c r="U14" i="54"/>
  <c r="U8" i="54"/>
  <c r="U16" i="54"/>
  <c r="U12" i="54"/>
  <c r="S7" i="54"/>
  <c r="S18" i="54" s="1"/>
  <c r="U7" i="54" l="1"/>
  <c r="U13" i="54"/>
  <c r="U18" i="54" s="1"/>
  <c r="M19" i="65" l="1"/>
  <c r="N19" i="65" s="1"/>
  <c r="M16" i="65" l="1"/>
  <c r="N16" i="65" s="1"/>
  <c r="M17" i="65"/>
  <c r="N17" i="65" s="1"/>
  <c r="E22" i="65" l="1"/>
  <c r="M42" i="65" l="1"/>
  <c r="N42" i="65" s="1"/>
  <c r="M41" i="65"/>
  <c r="N41" i="65" s="1"/>
  <c r="M40" i="65"/>
  <c r="N40" i="65" s="1"/>
  <c r="M39" i="65"/>
  <c r="N39" i="65" s="1"/>
  <c r="M38" i="65"/>
  <c r="N38" i="65" s="1"/>
  <c r="M37" i="65"/>
  <c r="N37" i="65" s="1"/>
  <c r="M36" i="65"/>
  <c r="N36" i="65" s="1"/>
  <c r="M35" i="65"/>
  <c r="N35" i="65" s="1"/>
  <c r="M34" i="65"/>
  <c r="N34" i="65" s="1"/>
  <c r="M33" i="65"/>
  <c r="N33" i="65" s="1"/>
  <c r="M31" i="65"/>
  <c r="N31" i="65" s="1"/>
  <c r="M30" i="65"/>
  <c r="N30" i="65" s="1"/>
  <c r="M29" i="65"/>
  <c r="N29" i="65" s="1"/>
  <c r="M27" i="65"/>
  <c r="N27" i="65" s="1"/>
  <c r="M26" i="65"/>
  <c r="N26" i="65" s="1"/>
  <c r="M25" i="65"/>
  <c r="N25" i="65" s="1"/>
  <c r="M45" i="65"/>
  <c r="N45" i="65" s="1"/>
  <c r="M44" i="65"/>
  <c r="N44" i="65" s="1"/>
  <c r="M43" i="65"/>
  <c r="N43" i="65" s="1"/>
  <c r="M20" i="65"/>
  <c r="N20" i="65" s="1"/>
  <c r="E8" i="65" l="1"/>
  <c r="G20" i="65"/>
  <c r="H20" i="65" s="1"/>
  <c r="J20" i="65"/>
  <c r="K20" i="65" s="1"/>
  <c r="J31" i="65"/>
  <c r="K31" i="65" s="1"/>
  <c r="G31" i="65"/>
  <c r="H31" i="65" s="1"/>
  <c r="G37" i="65"/>
  <c r="H37" i="65" s="1"/>
  <c r="J37" i="65"/>
  <c r="K37" i="65" s="1"/>
  <c r="J21" i="65"/>
  <c r="K21" i="65" s="1"/>
  <c r="G44" i="65"/>
  <c r="H44" i="65" s="1"/>
  <c r="J44" i="65"/>
  <c r="K44" i="65" s="1"/>
  <c r="G19" i="65"/>
  <c r="H19" i="65" s="1"/>
  <c r="J19" i="65"/>
  <c r="K19" i="65" s="1"/>
  <c r="G27" i="65"/>
  <c r="H27" i="65" s="1"/>
  <c r="J27" i="65"/>
  <c r="K27" i="65" s="1"/>
  <c r="G34" i="65"/>
  <c r="H34" i="65" s="1"/>
  <c r="J34" i="65"/>
  <c r="K34" i="65" s="1"/>
  <c r="G42" i="65"/>
  <c r="H42" i="65" s="1"/>
  <c r="J42" i="65"/>
  <c r="K42" i="65" s="1"/>
  <c r="G39" i="65"/>
  <c r="H39" i="65" s="1"/>
  <c r="J39" i="65"/>
  <c r="K39" i="65" s="1"/>
  <c r="G29" i="65"/>
  <c r="H29" i="65" s="1"/>
  <c r="J29" i="65"/>
  <c r="K29" i="65" s="1"/>
  <c r="G25" i="65"/>
  <c r="H25" i="65" s="1"/>
  <c r="J25" i="65"/>
  <c r="K25" i="65" s="1"/>
  <c r="G17" i="65"/>
  <c r="H17" i="65" s="1"/>
  <c r="J17" i="65"/>
  <c r="K17" i="65" s="1"/>
  <c r="G30" i="65"/>
  <c r="H30" i="65" s="1"/>
  <c r="J30" i="65"/>
  <c r="K30" i="65" s="1"/>
  <c r="G36" i="65"/>
  <c r="H36" i="65" s="1"/>
  <c r="J36" i="65"/>
  <c r="K36" i="65" s="1"/>
  <c r="G45" i="65"/>
  <c r="H45" i="65" s="1"/>
  <c r="J45" i="65"/>
  <c r="K45" i="65" s="1"/>
  <c r="G35" i="65"/>
  <c r="H35" i="65" s="1"/>
  <c r="J35" i="65"/>
  <c r="K35" i="65" s="1"/>
  <c r="G40" i="65"/>
  <c r="H40" i="65" s="1"/>
  <c r="J40" i="65"/>
  <c r="K40" i="65" s="1"/>
  <c r="G43" i="65"/>
  <c r="H43" i="65" s="1"/>
  <c r="J43" i="65"/>
  <c r="K43" i="65" s="1"/>
  <c r="J24" i="65"/>
  <c r="K24" i="65" s="1"/>
  <c r="G26" i="65"/>
  <c r="H26" i="65" s="1"/>
  <c r="J26" i="65"/>
  <c r="K26" i="65" s="1"/>
  <c r="G33" i="65"/>
  <c r="H33" i="65" s="1"/>
  <c r="J33" i="65"/>
  <c r="K33" i="65" s="1"/>
  <c r="G41" i="65"/>
  <c r="H41" i="65" s="1"/>
  <c r="J41" i="65"/>
  <c r="K41" i="65" s="1"/>
  <c r="G16" i="65"/>
  <c r="H16" i="65" s="1"/>
  <c r="J16" i="65"/>
  <c r="K16" i="65" s="1"/>
  <c r="J18" i="65"/>
  <c r="K18" i="65" s="1"/>
  <c r="G38" i="65"/>
  <c r="H38" i="65" s="1"/>
  <c r="J38" i="65"/>
  <c r="K38" i="65" s="1"/>
  <c r="E7" i="65"/>
  <c r="E11" i="65" l="1"/>
  <c r="E9" i="65"/>
  <c r="M15" i="65"/>
  <c r="N15" i="65" s="1"/>
  <c r="G24" i="65" l="1"/>
  <c r="H24" i="65" s="1"/>
  <c r="M24" i="65"/>
  <c r="N24" i="65" s="1"/>
  <c r="M23" i="65"/>
  <c r="N23" i="65" s="1"/>
  <c r="M32" i="65"/>
  <c r="N32" i="65" s="1"/>
  <c r="G18" i="65" l="1"/>
  <c r="H18" i="65" s="1"/>
  <c r="M18" i="65"/>
  <c r="N18" i="65" s="1"/>
  <c r="G21" i="65"/>
  <c r="H21" i="65" s="1"/>
  <c r="M21" i="65"/>
  <c r="N21" i="65" s="1"/>
  <c r="J15" i="65"/>
  <c r="K15" i="65" s="1"/>
  <c r="G15" i="65"/>
  <c r="H15" i="65" s="1"/>
  <c r="J23" i="65"/>
  <c r="K23" i="65" s="1"/>
  <c r="G23" i="65"/>
  <c r="H23" i="65" s="1"/>
  <c r="G32" i="65" l="1"/>
  <c r="H32" i="65" s="1"/>
  <c r="J32" i="65"/>
  <c r="K32" i="65" s="1"/>
  <c r="AO20" i="41" l="1"/>
  <c r="M14" i="65"/>
  <c r="N14" i="65" s="1"/>
  <c r="E10" i="65" l="1"/>
  <c r="E12" i="65"/>
  <c r="G14" i="65"/>
  <c r="H14" i="65" s="1"/>
  <c r="J14" i="65"/>
  <c r="K14" i="65" s="1"/>
  <c r="J28" i="65" l="1"/>
  <c r="K28" i="65" l="1"/>
  <c r="G28" i="65" l="1"/>
  <c r="H28" i="65" s="1"/>
  <c r="M28" i="65"/>
  <c r="N28" i="65" s="1"/>
  <c r="D8" i="65" l="1"/>
  <c r="C8" i="65"/>
  <c r="M8" i="65" s="1"/>
  <c r="N8" i="65" s="1"/>
  <c r="G8" i="65" l="1"/>
  <c r="H8" i="65" s="1"/>
  <c r="J8" i="65"/>
  <c r="K8" i="65" s="1"/>
  <c r="C7" i="65"/>
  <c r="M7" i="65" s="1"/>
  <c r="N7" i="65" s="1"/>
  <c r="M13" i="65" s="1"/>
  <c r="D7" i="65"/>
  <c r="G7" i="65" l="1"/>
  <c r="H7" i="65" s="1"/>
  <c r="J7" i="65"/>
  <c r="K7" i="65" s="1"/>
  <c r="C9" i="65" l="1"/>
  <c r="M9" i="65" s="1"/>
  <c r="N9" i="65" s="1"/>
  <c r="D9" i="65"/>
  <c r="G9" i="65" l="1"/>
  <c r="H9" i="65" s="1"/>
  <c r="J9" i="65"/>
  <c r="K9" i="65" s="1"/>
  <c r="L9" i="44"/>
  <c r="K9" i="44"/>
  <c r="AB55" i="63" l="1"/>
  <c r="Z55" i="63"/>
  <c r="X55" i="63"/>
  <c r="V55" i="63"/>
  <c r="AB54" i="63"/>
  <c r="X53" i="63"/>
  <c r="AB52" i="63"/>
  <c r="X52" i="63"/>
  <c r="AB51" i="63"/>
  <c r="X51" i="63"/>
  <c r="AB50" i="63"/>
  <c r="X50" i="63"/>
  <c r="AB49" i="63"/>
  <c r="X49" i="63"/>
  <c r="AB48" i="63"/>
  <c r="Z48" i="63"/>
  <c r="X48" i="63"/>
  <c r="V41" i="63"/>
  <c r="F41" i="63"/>
  <c r="T41" i="63"/>
  <c r="R41" i="63"/>
  <c r="D41" i="63"/>
  <c r="B41" i="63"/>
  <c r="O20" i="63"/>
  <c r="N20" i="63"/>
  <c r="M20" i="63"/>
  <c r="L20" i="63"/>
  <c r="T17" i="63"/>
  <c r="R17" i="63"/>
  <c r="F20" i="63"/>
  <c r="T12" i="63"/>
  <c r="R11" i="63"/>
  <c r="T10" i="63"/>
  <c r="R9" i="63"/>
  <c r="AB31" i="63"/>
  <c r="Z31" i="63"/>
  <c r="V31" i="63"/>
  <c r="J31" i="63"/>
  <c r="H31" i="63"/>
  <c r="D31" i="63"/>
  <c r="B31" i="63"/>
  <c r="Z29" i="63"/>
  <c r="AB30" i="63"/>
  <c r="Z30" i="63"/>
  <c r="V30" i="63"/>
  <c r="J30" i="63"/>
  <c r="H30" i="63"/>
  <c r="D30" i="63"/>
  <c r="B30" i="63"/>
  <c r="AB29" i="63"/>
  <c r="J29" i="63"/>
  <c r="H29" i="63"/>
  <c r="D29" i="63"/>
  <c r="B29" i="63"/>
  <c r="AB28" i="63"/>
  <c r="Z28" i="63"/>
  <c r="V28" i="63"/>
  <c r="J28" i="63"/>
  <c r="H28" i="63"/>
  <c r="D28" i="63"/>
  <c r="B28" i="63"/>
  <c r="J41" i="63" l="1"/>
  <c r="Z41" i="63"/>
  <c r="AB41" i="63"/>
  <c r="AL8" i="63"/>
  <c r="AM8" i="63"/>
  <c r="AF8" i="63"/>
  <c r="AN8" i="63"/>
  <c r="AH8" i="63"/>
  <c r="AP8" i="63"/>
  <c r="J20" i="63"/>
  <c r="H41" i="63"/>
  <c r="F13" i="63"/>
  <c r="F21" i="63" s="1"/>
  <c r="G40" i="63" s="1"/>
  <c r="G41" i="63" s="1"/>
  <c r="AI8" i="63"/>
  <c r="AJ8" i="63"/>
  <c r="X20" i="63"/>
  <c r="N13" i="63"/>
  <c r="N21" i="63" s="1"/>
  <c r="O8" i="63" s="1"/>
  <c r="AG8" i="63"/>
  <c r="AB20" i="63"/>
  <c r="X22" i="63"/>
  <c r="Z32" i="63"/>
  <c r="Z22" i="63"/>
  <c r="X13" i="63"/>
  <c r="Z34" i="63"/>
  <c r="V29" i="63"/>
  <c r="AB33" i="63"/>
  <c r="D34" i="63"/>
  <c r="H34" i="63"/>
  <c r="R34" i="63"/>
  <c r="B35" i="63"/>
  <c r="J35" i="63"/>
  <c r="T35" i="63"/>
  <c r="AB35" i="63"/>
  <c r="D13" i="63"/>
  <c r="H13" i="63"/>
  <c r="L13" i="63"/>
  <c r="L21" i="63" s="1"/>
  <c r="M12" i="63" s="1"/>
  <c r="Z13" i="63"/>
  <c r="R16" i="63"/>
  <c r="R18" i="63"/>
  <c r="R19" i="63"/>
  <c r="B20" i="63"/>
  <c r="R5" i="63"/>
  <c r="T5" i="63"/>
  <c r="R7" i="63"/>
  <c r="T7" i="63"/>
  <c r="AK8" i="63"/>
  <c r="AO8" i="63"/>
  <c r="D32" i="63"/>
  <c r="D22" i="63"/>
  <c r="H32" i="63"/>
  <c r="H22" i="63"/>
  <c r="R32" i="63"/>
  <c r="V32" i="63"/>
  <c r="B33" i="63"/>
  <c r="J33" i="63"/>
  <c r="T33" i="63"/>
  <c r="R6" i="63"/>
  <c r="T6" i="63"/>
  <c r="R8" i="63"/>
  <c r="T8" i="63"/>
  <c r="B32" i="63"/>
  <c r="B22" i="63"/>
  <c r="J32" i="63"/>
  <c r="J22" i="63"/>
  <c r="T9" i="63"/>
  <c r="AB32" i="63"/>
  <c r="AB22" i="63"/>
  <c r="D33" i="63"/>
  <c r="H33" i="63"/>
  <c r="R10" i="63"/>
  <c r="V33" i="63"/>
  <c r="Z33" i="63"/>
  <c r="B34" i="63"/>
  <c r="J34" i="63"/>
  <c r="T11" i="63"/>
  <c r="AB34" i="63"/>
  <c r="D35" i="63"/>
  <c r="H35" i="63"/>
  <c r="R12" i="63"/>
  <c r="V35" i="63"/>
  <c r="Z35" i="63"/>
  <c r="B13" i="63"/>
  <c r="J13" i="63"/>
  <c r="AB13" i="63"/>
  <c r="T16" i="63"/>
  <c r="T18" i="63"/>
  <c r="T19" i="63"/>
  <c r="D20" i="63"/>
  <c r="H20" i="63"/>
  <c r="V20" i="63"/>
  <c r="Z20" i="63"/>
  <c r="F36" i="63"/>
  <c r="F42" i="63" s="1"/>
  <c r="V56" i="63"/>
  <c r="V60" i="63" s="1"/>
  <c r="X56" i="63"/>
  <c r="X60" i="63" s="1"/>
  <c r="Z56" i="63"/>
  <c r="Z60" i="63" s="1"/>
  <c r="AA55" i="63" s="1"/>
  <c r="AB56" i="63"/>
  <c r="AB60" i="63" s="1"/>
  <c r="AC53" i="63" s="1"/>
  <c r="O9" i="63" l="1"/>
  <c r="O10" i="63"/>
  <c r="O11" i="63"/>
  <c r="O5" i="63"/>
  <c r="O13" i="63" s="1"/>
  <c r="O21" i="63" s="1"/>
  <c r="G32" i="63"/>
  <c r="O12" i="63"/>
  <c r="G34" i="63"/>
  <c r="G30" i="63"/>
  <c r="M9" i="63"/>
  <c r="M10" i="63"/>
  <c r="G17" i="63"/>
  <c r="G20" i="63" s="1"/>
  <c r="G12" i="63"/>
  <c r="G9" i="63"/>
  <c r="G5" i="63"/>
  <c r="O6" i="63"/>
  <c r="G8" i="63"/>
  <c r="F22" i="63"/>
  <c r="G28" i="63"/>
  <c r="B21" i="63"/>
  <c r="C8" i="63" s="1"/>
  <c r="J21" i="63"/>
  <c r="K9" i="63" s="1"/>
  <c r="R22" i="63"/>
  <c r="G11" i="63"/>
  <c r="X21" i="63"/>
  <c r="Y9" i="63" s="1"/>
  <c r="G29" i="63"/>
  <c r="O7" i="63"/>
  <c r="G31" i="63"/>
  <c r="G7" i="63"/>
  <c r="G35" i="63"/>
  <c r="G33" i="63"/>
  <c r="AB21" i="63"/>
  <c r="AC5" i="63" s="1"/>
  <c r="G10" i="63"/>
  <c r="G6" i="63"/>
  <c r="AA58" i="63"/>
  <c r="AA48" i="63"/>
  <c r="AA59" i="63"/>
  <c r="D21" i="63"/>
  <c r="E12" i="63" s="1"/>
  <c r="Y54" i="63"/>
  <c r="Y53" i="63"/>
  <c r="Y52" i="63"/>
  <c r="Y51" i="63"/>
  <c r="Y50" i="63"/>
  <c r="Y49" i="63"/>
  <c r="AC59" i="63"/>
  <c r="AC58" i="63"/>
  <c r="AC55" i="63"/>
  <c r="AC54" i="63"/>
  <c r="AC51" i="63"/>
  <c r="AC49" i="63"/>
  <c r="Y48" i="63"/>
  <c r="T32" i="63"/>
  <c r="T22" i="63"/>
  <c r="T31" i="63"/>
  <c r="T29" i="63"/>
  <c r="R30" i="63"/>
  <c r="AB36" i="63"/>
  <c r="AB42" i="63" s="1"/>
  <c r="AC33" i="63" s="1"/>
  <c r="T28" i="63"/>
  <c r="T13" i="63"/>
  <c r="J36" i="63"/>
  <c r="J42" i="63" s="1"/>
  <c r="K35" i="63" s="1"/>
  <c r="H36" i="63"/>
  <c r="H42" i="63" s="1"/>
  <c r="I35" i="63" s="1"/>
  <c r="Z21" i="63"/>
  <c r="M8" i="63"/>
  <c r="M6" i="63"/>
  <c r="V34" i="63"/>
  <c r="V36" i="63" s="1"/>
  <c r="V42" i="63" s="1"/>
  <c r="M7" i="63"/>
  <c r="AA54" i="63"/>
  <c r="AA53" i="63"/>
  <c r="AA52" i="63"/>
  <c r="AA51" i="63"/>
  <c r="AA50" i="63"/>
  <c r="AA49" i="63"/>
  <c r="W54" i="63"/>
  <c r="W48" i="63"/>
  <c r="W53" i="63"/>
  <c r="W52" i="63"/>
  <c r="W51" i="63"/>
  <c r="W50" i="63"/>
  <c r="W49" i="63"/>
  <c r="Y59" i="63"/>
  <c r="Y58" i="63"/>
  <c r="Y55" i="63"/>
  <c r="AC52" i="63"/>
  <c r="AC50" i="63"/>
  <c r="AC48" i="63"/>
  <c r="T20" i="63"/>
  <c r="R35" i="63"/>
  <c r="T34" i="63"/>
  <c r="R33" i="63"/>
  <c r="R31" i="63"/>
  <c r="R29" i="63"/>
  <c r="V22" i="63"/>
  <c r="T30" i="63"/>
  <c r="Z36" i="63"/>
  <c r="Z42" i="63" s="1"/>
  <c r="AA35" i="63" s="1"/>
  <c r="R28" i="63"/>
  <c r="R13" i="63"/>
  <c r="D36" i="63"/>
  <c r="D42" i="63" s="1"/>
  <c r="B36" i="63"/>
  <c r="B42" i="63" s="1"/>
  <c r="C34" i="63" s="1"/>
  <c r="W59" i="63"/>
  <c r="W58" i="63"/>
  <c r="W55" i="63"/>
  <c r="R20" i="63"/>
  <c r="V13" i="63"/>
  <c r="V21" i="63" s="1"/>
  <c r="H21" i="63"/>
  <c r="M11" i="63"/>
  <c r="M5" i="63"/>
  <c r="M13" i="63" s="1"/>
  <c r="M21" i="63" s="1"/>
  <c r="C9" i="63" l="1"/>
  <c r="E16" i="63"/>
  <c r="C5" i="63"/>
  <c r="Y6" i="63"/>
  <c r="Y12" i="63"/>
  <c r="E6" i="63"/>
  <c r="E10" i="63"/>
  <c r="E8" i="63"/>
  <c r="G36" i="63"/>
  <c r="G42" i="63" s="1"/>
  <c r="E17" i="63"/>
  <c r="C11" i="63"/>
  <c r="G13" i="63"/>
  <c r="G21" i="63" s="1"/>
  <c r="E11" i="63"/>
  <c r="C7" i="63"/>
  <c r="Y8" i="63"/>
  <c r="K12" i="63"/>
  <c r="K10" i="63"/>
  <c r="K8" i="63"/>
  <c r="K5" i="63"/>
  <c r="K11" i="63"/>
  <c r="C16" i="63"/>
  <c r="Y17" i="63"/>
  <c r="C17" i="63"/>
  <c r="E7" i="63"/>
  <c r="AC11" i="63"/>
  <c r="E18" i="63"/>
  <c r="C10" i="63"/>
  <c r="C6" i="63"/>
  <c r="K16" i="63"/>
  <c r="K18" i="63"/>
  <c r="Y7" i="63"/>
  <c r="C19" i="63"/>
  <c r="K7" i="63"/>
  <c r="C12" i="63"/>
  <c r="C18" i="63"/>
  <c r="K6" i="63"/>
  <c r="K19" i="63"/>
  <c r="Y11" i="63"/>
  <c r="Y19" i="63"/>
  <c r="Y5" i="63"/>
  <c r="AC16" i="63"/>
  <c r="K17" i="63"/>
  <c r="I32" i="63"/>
  <c r="AC12" i="63"/>
  <c r="AC19" i="63"/>
  <c r="AC17" i="63"/>
  <c r="AC7" i="63"/>
  <c r="AC6" i="63"/>
  <c r="I34" i="63"/>
  <c r="AC8" i="63"/>
  <c r="Y10" i="63"/>
  <c r="Y18" i="63"/>
  <c r="Y16" i="63"/>
  <c r="AC9" i="63"/>
  <c r="AC18" i="63"/>
  <c r="AC10" i="63"/>
  <c r="C35" i="63"/>
  <c r="E19" i="63"/>
  <c r="E9" i="63"/>
  <c r="E5" i="63"/>
  <c r="AC56" i="63"/>
  <c r="AC60" i="63" s="1"/>
  <c r="AA56" i="63"/>
  <c r="AA60" i="63" s="1"/>
  <c r="AA32" i="63"/>
  <c r="W40" i="63"/>
  <c r="W41" i="63" s="1"/>
  <c r="W8" i="63"/>
  <c r="W6" i="63"/>
  <c r="W31" i="63"/>
  <c r="W18" i="63"/>
  <c r="W5" i="63"/>
  <c r="W10" i="63"/>
  <c r="W12" i="63"/>
  <c r="W16" i="63"/>
  <c r="W17" i="63"/>
  <c r="W19" i="63"/>
  <c r="W28" i="63"/>
  <c r="W30" i="63"/>
  <c r="W9" i="63"/>
  <c r="W7" i="63"/>
  <c r="E40" i="63"/>
  <c r="E39" i="63"/>
  <c r="E30" i="63"/>
  <c r="E29" i="63"/>
  <c r="E31" i="63"/>
  <c r="E28" i="63"/>
  <c r="W34" i="63"/>
  <c r="K40" i="63"/>
  <c r="K39" i="63"/>
  <c r="K28" i="63"/>
  <c r="K30" i="63"/>
  <c r="K29" i="63"/>
  <c r="K31" i="63"/>
  <c r="T21" i="63"/>
  <c r="AC40" i="63"/>
  <c r="AC39" i="63"/>
  <c r="AC31" i="63"/>
  <c r="AC28" i="63"/>
  <c r="AC30" i="63"/>
  <c r="AC29" i="63"/>
  <c r="E33" i="63"/>
  <c r="W33" i="63"/>
  <c r="AC34" i="63"/>
  <c r="E34" i="63"/>
  <c r="I8" i="63"/>
  <c r="I6" i="63"/>
  <c r="I18" i="63"/>
  <c r="I9" i="63"/>
  <c r="I10" i="63"/>
  <c r="I12" i="63"/>
  <c r="I11" i="63"/>
  <c r="I16" i="63"/>
  <c r="I17" i="63"/>
  <c r="I19" i="63"/>
  <c r="I5" i="63"/>
  <c r="I7" i="63"/>
  <c r="C40" i="63"/>
  <c r="C39" i="63"/>
  <c r="C31" i="63"/>
  <c r="C29" i="63"/>
  <c r="C28" i="63"/>
  <c r="C30" i="63"/>
  <c r="R21" i="63"/>
  <c r="R36" i="63"/>
  <c r="R42" i="63" s="1"/>
  <c r="AA40" i="63"/>
  <c r="AA39" i="63"/>
  <c r="AA30" i="63"/>
  <c r="AA29" i="63"/>
  <c r="AA31" i="63"/>
  <c r="AA28" i="63"/>
  <c r="C33" i="63"/>
  <c r="AC32" i="63"/>
  <c r="W56" i="63"/>
  <c r="W60" i="63" s="1"/>
  <c r="AA34" i="63"/>
  <c r="W29" i="63"/>
  <c r="W11" i="63"/>
  <c r="AC35" i="63"/>
  <c r="AA8" i="63"/>
  <c r="AA6" i="63"/>
  <c r="AA9" i="63"/>
  <c r="AA11" i="63"/>
  <c r="AA16" i="63"/>
  <c r="AA17" i="63"/>
  <c r="AA19" i="63"/>
  <c r="AA5" i="63"/>
  <c r="AA7" i="63"/>
  <c r="AA10" i="63"/>
  <c r="AA12" i="63"/>
  <c r="AA18" i="63"/>
  <c r="I40" i="63"/>
  <c r="I39" i="63"/>
  <c r="I29" i="63"/>
  <c r="I28" i="63"/>
  <c r="I30" i="63"/>
  <c r="I31" i="63"/>
  <c r="T36" i="63"/>
  <c r="T42" i="63" s="1"/>
  <c r="E32" i="63"/>
  <c r="W32" i="63"/>
  <c r="K33" i="63"/>
  <c r="C32" i="63"/>
  <c r="K32" i="63"/>
  <c r="I33" i="63"/>
  <c r="AA33" i="63"/>
  <c r="K34" i="63"/>
  <c r="E35" i="63"/>
  <c r="W35" i="63"/>
  <c r="Y56" i="63"/>
  <c r="Y60" i="63" s="1"/>
  <c r="K22" i="63" l="1"/>
  <c r="C20" i="63"/>
  <c r="C13" i="63"/>
  <c r="K13" i="63"/>
  <c r="K20" i="63"/>
  <c r="G22" i="63"/>
  <c r="E22" i="63"/>
  <c r="E20" i="63"/>
  <c r="C22" i="63"/>
  <c r="Y13" i="63"/>
  <c r="Y22" i="63"/>
  <c r="Y20" i="63"/>
  <c r="AC20" i="63"/>
  <c r="AC13" i="63"/>
  <c r="AC22" i="63"/>
  <c r="E13" i="63"/>
  <c r="C41" i="63"/>
  <c r="I13" i="63"/>
  <c r="E41" i="63"/>
  <c r="AC41" i="63"/>
  <c r="U40" i="63"/>
  <c r="U39" i="63"/>
  <c r="U33" i="63"/>
  <c r="U35" i="63"/>
  <c r="AA20" i="63"/>
  <c r="AA22" i="63"/>
  <c r="U30" i="63"/>
  <c r="S40" i="63"/>
  <c r="S39" i="63"/>
  <c r="S32" i="63"/>
  <c r="S34" i="63"/>
  <c r="U31" i="63"/>
  <c r="AC36" i="63"/>
  <c r="U12" i="63"/>
  <c r="U10" i="63"/>
  <c r="U17" i="63"/>
  <c r="U9" i="63"/>
  <c r="U8" i="63"/>
  <c r="U6" i="63"/>
  <c r="U5" i="63"/>
  <c r="U18" i="63"/>
  <c r="U16" i="63"/>
  <c r="U11" i="63"/>
  <c r="U19" i="63"/>
  <c r="U7" i="63"/>
  <c r="K36" i="63"/>
  <c r="S35" i="63"/>
  <c r="S31" i="63"/>
  <c r="E36" i="63"/>
  <c r="W20" i="63"/>
  <c r="U32" i="63"/>
  <c r="U28" i="63"/>
  <c r="I36" i="63"/>
  <c r="I41" i="63"/>
  <c r="AA13" i="63"/>
  <c r="S33" i="63"/>
  <c r="AA36" i="63"/>
  <c r="AA41" i="63"/>
  <c r="S28" i="63"/>
  <c r="S11" i="63"/>
  <c r="S17" i="63"/>
  <c r="S9" i="63"/>
  <c r="S7" i="63"/>
  <c r="S18" i="63"/>
  <c r="S12" i="63"/>
  <c r="S8" i="63"/>
  <c r="S6" i="63"/>
  <c r="S19" i="63"/>
  <c r="S16" i="63"/>
  <c r="S10" i="63"/>
  <c r="S5" i="63"/>
  <c r="C36" i="63"/>
  <c r="I20" i="63"/>
  <c r="I22" i="63"/>
  <c r="U29" i="63"/>
  <c r="S30" i="63"/>
  <c r="K41" i="63"/>
  <c r="U34" i="63"/>
  <c r="S29" i="63"/>
  <c r="W22" i="63"/>
  <c r="W36" i="63"/>
  <c r="W42" i="63" s="1"/>
  <c r="W13" i="63"/>
  <c r="W21" i="63" s="1"/>
  <c r="C21" i="63" l="1"/>
  <c r="K21" i="63"/>
  <c r="I21" i="63"/>
  <c r="C42" i="63"/>
  <c r="E21" i="63"/>
  <c r="AC21" i="63"/>
  <c r="Y21" i="63"/>
  <c r="AA21" i="63"/>
  <c r="E42" i="63"/>
  <c r="S13" i="63"/>
  <c r="U41" i="63"/>
  <c r="S20" i="63"/>
  <c r="I42" i="63"/>
  <c r="AA42" i="63"/>
  <c r="AC42" i="63"/>
  <c r="S36" i="63"/>
  <c r="U22" i="63"/>
  <c r="S22" i="63"/>
  <c r="U36" i="63"/>
  <c r="K42" i="63"/>
  <c r="U20" i="63"/>
  <c r="U13" i="63"/>
  <c r="S41" i="63"/>
  <c r="U42" i="63" l="1"/>
  <c r="S21" i="63"/>
  <c r="U21" i="63"/>
  <c r="S42" i="63"/>
  <c r="V55" i="61" l="1"/>
  <c r="U55" i="61"/>
  <c r="U53" i="61"/>
  <c r="V53" i="61" s="1"/>
  <c r="U52" i="61"/>
  <c r="V52" i="61" s="1"/>
  <c r="U50" i="61"/>
  <c r="V50" i="61" s="1"/>
  <c r="U49" i="61"/>
  <c r="V49" i="61" s="1"/>
  <c r="U48" i="61"/>
  <c r="V48" i="61" s="1"/>
  <c r="U47" i="61"/>
  <c r="V47" i="61" s="1"/>
  <c r="K46" i="61"/>
  <c r="U46" i="61" s="1"/>
  <c r="V46" i="61" s="1"/>
  <c r="F46" i="61"/>
  <c r="U37" i="61"/>
  <c r="V37" i="61" s="1"/>
  <c r="Q37" i="61"/>
  <c r="R37" i="61" s="1"/>
  <c r="U36" i="61"/>
  <c r="V36" i="61" s="1"/>
  <c r="Z31" i="61"/>
  <c r="Y31" i="61"/>
  <c r="Z30" i="61"/>
  <c r="Y30" i="61"/>
  <c r="X30" i="61"/>
  <c r="L7" i="61"/>
  <c r="J7" i="61"/>
  <c r="F7" i="61"/>
  <c r="D7" i="61"/>
  <c r="N7" i="61" l="1"/>
  <c r="N10" i="61"/>
  <c r="C21" i="61"/>
  <c r="F9" i="61"/>
  <c r="P9" i="61"/>
  <c r="J8" i="61"/>
  <c r="L9" i="61"/>
  <c r="H10" i="61"/>
  <c r="D8" i="61"/>
  <c r="H7" i="61"/>
  <c r="U15" i="61"/>
  <c r="V15" i="61" s="1"/>
  <c r="S15" i="61"/>
  <c r="T15" i="61" s="1"/>
  <c r="U12" i="61"/>
  <c r="V12" i="61" s="1"/>
  <c r="U16" i="61"/>
  <c r="V16" i="61" s="1"/>
  <c r="U14" i="61"/>
  <c r="V14" i="61" s="1"/>
  <c r="Q17" i="61"/>
  <c r="R17" i="61" s="1"/>
  <c r="Q19" i="61"/>
  <c r="R19" i="61" s="1"/>
  <c r="Q21" i="61"/>
  <c r="R21" i="61" s="1"/>
  <c r="Q23" i="61"/>
  <c r="R23" i="61" s="1"/>
  <c r="Q25" i="61"/>
  <c r="R25" i="61" s="1"/>
  <c r="Q27" i="61"/>
  <c r="R27" i="61" s="1"/>
  <c r="Q29" i="61"/>
  <c r="R29" i="61" s="1"/>
  <c r="S36" i="61"/>
  <c r="T36" i="61" s="1"/>
  <c r="Q38" i="61"/>
  <c r="R38" i="61" s="1"/>
  <c r="Q39" i="61"/>
  <c r="R39" i="61" s="1"/>
  <c r="Q40" i="61"/>
  <c r="R40" i="61" s="1"/>
  <c r="Q41" i="61"/>
  <c r="R41" i="61" s="1"/>
  <c r="Q42" i="61"/>
  <c r="R42" i="61" s="1"/>
  <c r="Q43" i="61"/>
  <c r="R43" i="61" s="1"/>
  <c r="Q44" i="61"/>
  <c r="R44" i="61" s="1"/>
  <c r="U5" i="61"/>
  <c r="V5" i="61" s="1"/>
  <c r="U32" i="61"/>
  <c r="V32" i="61" s="1"/>
  <c r="U33" i="61"/>
  <c r="V33" i="61" s="1"/>
  <c r="U34" i="61"/>
  <c r="V34" i="61" s="1"/>
  <c r="C10" i="61"/>
  <c r="E10" i="61"/>
  <c r="G10" i="61"/>
  <c r="I10" i="61"/>
  <c r="K10" i="61"/>
  <c r="M10" i="61"/>
  <c r="O10" i="61"/>
  <c r="E7" i="61"/>
  <c r="G7" i="61"/>
  <c r="I7" i="61"/>
  <c r="K7" i="61"/>
  <c r="Q7" i="61" s="1"/>
  <c r="R7" i="61" s="1"/>
  <c r="M7" i="61"/>
  <c r="O7" i="61"/>
  <c r="S12" i="61"/>
  <c r="T12" i="61" s="1"/>
  <c r="S14" i="61"/>
  <c r="T14" i="61" s="1"/>
  <c r="S16" i="61"/>
  <c r="T16" i="61" s="1"/>
  <c r="Q32" i="61"/>
  <c r="R32" i="61" s="1"/>
  <c r="Q33" i="61"/>
  <c r="R33" i="61" s="1"/>
  <c r="Q34" i="61"/>
  <c r="R34" i="61" s="1"/>
  <c r="Q35" i="61"/>
  <c r="R35" i="61" s="1"/>
  <c r="U38" i="61"/>
  <c r="V38" i="61" s="1"/>
  <c r="U39" i="61"/>
  <c r="V39" i="61" s="1"/>
  <c r="U40" i="61"/>
  <c r="V40" i="61" s="1"/>
  <c r="U41" i="61"/>
  <c r="V41" i="61" s="1"/>
  <c r="U42" i="61"/>
  <c r="V42" i="61" s="1"/>
  <c r="U43" i="61"/>
  <c r="V43" i="61" s="1"/>
  <c r="U44" i="61"/>
  <c r="V44" i="61" s="1"/>
  <c r="U35" i="61"/>
  <c r="V35" i="61" s="1"/>
  <c r="D6" i="61"/>
  <c r="H6" i="61"/>
  <c r="L6" i="61"/>
  <c r="P6" i="61"/>
  <c r="P7" i="61"/>
  <c r="F8" i="61"/>
  <c r="H8" i="61"/>
  <c r="L8" i="61"/>
  <c r="N8" i="61"/>
  <c r="D9" i="61"/>
  <c r="H9" i="61"/>
  <c r="J9" i="61"/>
  <c r="N9" i="61"/>
  <c r="D10" i="61"/>
  <c r="F10" i="61"/>
  <c r="J10" i="61"/>
  <c r="L10" i="61"/>
  <c r="P10" i="61"/>
  <c r="Q4" i="61"/>
  <c r="R4" i="61" s="1"/>
  <c r="S4" i="61"/>
  <c r="T4" i="61" s="1"/>
  <c r="U4" i="61"/>
  <c r="V4" i="61" s="1"/>
  <c r="Q5" i="61"/>
  <c r="R5" i="61" s="1"/>
  <c r="S5" i="61"/>
  <c r="T5" i="61" s="1"/>
  <c r="E6" i="61"/>
  <c r="G6" i="61"/>
  <c r="I6" i="61"/>
  <c r="K6" i="61"/>
  <c r="M6" i="61"/>
  <c r="O6" i="61"/>
  <c r="E8" i="61"/>
  <c r="G8" i="61"/>
  <c r="I8" i="61"/>
  <c r="K8" i="61"/>
  <c r="M8" i="61"/>
  <c r="O8" i="61"/>
  <c r="E9" i="61"/>
  <c r="G9" i="61"/>
  <c r="I9" i="61"/>
  <c r="K9" i="61"/>
  <c r="M9" i="61"/>
  <c r="O9" i="61"/>
  <c r="U17" i="61"/>
  <c r="V17" i="61" s="1"/>
  <c r="S17" i="61"/>
  <c r="T17" i="61" s="1"/>
  <c r="Q18" i="61"/>
  <c r="R18" i="61" s="1"/>
  <c r="U19" i="61"/>
  <c r="V19" i="61" s="1"/>
  <c r="S19" i="61"/>
  <c r="T19" i="61" s="1"/>
  <c r="Q20" i="61"/>
  <c r="R20" i="61" s="1"/>
  <c r="U21" i="61"/>
  <c r="V21" i="61" s="1"/>
  <c r="S21" i="61"/>
  <c r="T21" i="61" s="1"/>
  <c r="Q22" i="61"/>
  <c r="R22" i="61" s="1"/>
  <c r="U23" i="61"/>
  <c r="V23" i="61" s="1"/>
  <c r="S23" i="61"/>
  <c r="T23" i="61" s="1"/>
  <c r="Q24" i="61"/>
  <c r="R24" i="61" s="1"/>
  <c r="U25" i="61"/>
  <c r="V25" i="61" s="1"/>
  <c r="S25" i="61"/>
  <c r="T25" i="61" s="1"/>
  <c r="Q26" i="61"/>
  <c r="R26" i="61" s="1"/>
  <c r="U27" i="61"/>
  <c r="V27" i="61" s="1"/>
  <c r="S27" i="61"/>
  <c r="T27" i="61" s="1"/>
  <c r="Q28" i="61"/>
  <c r="R28" i="61" s="1"/>
  <c r="U29" i="61"/>
  <c r="V29" i="61" s="1"/>
  <c r="S29" i="61"/>
  <c r="T29" i="61" s="1"/>
  <c r="Q30" i="61"/>
  <c r="R30" i="61" s="1"/>
  <c r="F6" i="61"/>
  <c r="J6" i="61"/>
  <c r="N6" i="61"/>
  <c r="P8" i="61"/>
  <c r="Q12" i="61"/>
  <c r="R12" i="61" s="1"/>
  <c r="Q11" i="61" s="1"/>
  <c r="Q14" i="61"/>
  <c r="R14" i="61" s="1"/>
  <c r="Q15" i="61"/>
  <c r="R15" i="61" s="1"/>
  <c r="Q16" i="61"/>
  <c r="R16" i="61" s="1"/>
  <c r="U18" i="61"/>
  <c r="V18" i="61" s="1"/>
  <c r="S18" i="61"/>
  <c r="T18" i="61" s="1"/>
  <c r="U20" i="61"/>
  <c r="V20" i="61" s="1"/>
  <c r="S20" i="61"/>
  <c r="T20" i="61" s="1"/>
  <c r="U22" i="61"/>
  <c r="V22" i="61" s="1"/>
  <c r="S22" i="61"/>
  <c r="T22" i="61" s="1"/>
  <c r="U24" i="61"/>
  <c r="V24" i="61" s="1"/>
  <c r="S24" i="61"/>
  <c r="T24" i="61" s="1"/>
  <c r="U26" i="61"/>
  <c r="V26" i="61" s="1"/>
  <c r="S26" i="61"/>
  <c r="T26" i="61" s="1"/>
  <c r="U28" i="61"/>
  <c r="V28" i="61" s="1"/>
  <c r="S28" i="61"/>
  <c r="T28" i="61" s="1"/>
  <c r="U30" i="61"/>
  <c r="V30" i="61" s="1"/>
  <c r="S30" i="61"/>
  <c r="T30" i="61" s="1"/>
  <c r="S31" i="61"/>
  <c r="T31" i="61" s="1"/>
  <c r="S32" i="61"/>
  <c r="T32" i="61" s="1"/>
  <c r="S33" i="61"/>
  <c r="T33" i="61" s="1"/>
  <c r="S34" i="61"/>
  <c r="T34" i="61" s="1"/>
  <c r="S35" i="61"/>
  <c r="T35" i="61" s="1"/>
  <c r="S37" i="61"/>
  <c r="T37" i="61" s="1"/>
  <c r="S38" i="61"/>
  <c r="T38" i="61" s="1"/>
  <c r="S39" i="61"/>
  <c r="T39" i="61" s="1"/>
  <c r="S40" i="61"/>
  <c r="T40" i="61" s="1"/>
  <c r="S41" i="61"/>
  <c r="T41" i="61" s="1"/>
  <c r="S42" i="61"/>
  <c r="T42" i="61" s="1"/>
  <c r="S43" i="61"/>
  <c r="T43" i="61" s="1"/>
  <c r="S44" i="61"/>
  <c r="T44" i="61" s="1"/>
  <c r="Q36" i="61"/>
  <c r="R36" i="61" s="1"/>
  <c r="Q9" i="61" l="1"/>
  <c r="R9" i="61" s="1"/>
  <c r="U9" i="61"/>
  <c r="V9" i="61" s="1"/>
  <c r="S11" i="61"/>
  <c r="Q10" i="61"/>
  <c r="R10" i="61" s="1"/>
  <c r="U11" i="61"/>
  <c r="S9" i="61"/>
  <c r="T9" i="61" s="1"/>
  <c r="U10" i="61"/>
  <c r="V10" i="61" s="1"/>
  <c r="S10" i="61"/>
  <c r="T10" i="61" s="1"/>
  <c r="U6" i="61"/>
  <c r="V6" i="61" s="1"/>
  <c r="S6" i="61"/>
  <c r="T6" i="61" s="1"/>
  <c r="U8" i="61"/>
  <c r="V8" i="61" s="1"/>
  <c r="S8" i="61"/>
  <c r="T8" i="61" s="1"/>
  <c r="Q8" i="61"/>
  <c r="R8" i="61" s="1"/>
  <c r="Q6" i="61"/>
  <c r="R6" i="61" s="1"/>
  <c r="U7" i="61"/>
  <c r="V7" i="61" s="1"/>
  <c r="S7" i="61"/>
  <c r="T7" i="61" s="1"/>
  <c r="F13" i="61" l="1"/>
  <c r="X13" i="61" l="1"/>
  <c r="F31" i="61" l="1"/>
  <c r="Q31" i="61" s="1"/>
  <c r="R31" i="61" s="1"/>
  <c r="U31" i="61" l="1"/>
  <c r="V31" i="61" s="1"/>
  <c r="X31" i="61"/>
  <c r="C11" i="65" l="1"/>
  <c r="M11" i="65" s="1"/>
  <c r="N11" i="65" s="1"/>
  <c r="C13" i="52" l="1"/>
  <c r="C11" i="52" s="1"/>
  <c r="D13" i="52"/>
  <c r="B6" i="52"/>
  <c r="B13" i="52"/>
  <c r="B11" i="52" s="1"/>
  <c r="D11" i="52" l="1"/>
  <c r="B9" i="52"/>
  <c r="D6" i="52"/>
  <c r="C9" i="52"/>
  <c r="B10" i="66"/>
  <c r="P13" i="61" l="1"/>
  <c r="U13" i="61" s="1"/>
  <c r="V13" i="61" s="1"/>
  <c r="D9" i="52"/>
  <c r="D22" i="65"/>
  <c r="D11" i="65"/>
  <c r="C6" i="52"/>
  <c r="Z13" i="61" l="1"/>
  <c r="K13" i="61"/>
  <c r="S13" i="61" s="1"/>
  <c r="T13" i="61" s="1"/>
  <c r="J22" i="65"/>
  <c r="K22" i="65" s="1"/>
  <c r="G11" i="65"/>
  <c r="H11" i="65" s="1"/>
  <c r="J11" i="65"/>
  <c r="K11" i="65" s="1"/>
  <c r="C22" i="65"/>
  <c r="B7" i="66"/>
  <c r="B14" i="66" s="1"/>
  <c r="L14" i="44"/>
  <c r="L15" i="44"/>
  <c r="Y13" i="61"/>
  <c r="Q13" i="61"/>
  <c r="R13" i="61" s="1"/>
  <c r="K15" i="44"/>
  <c r="K14" i="44"/>
  <c r="G22" i="65" l="1"/>
  <c r="H22" i="65" s="1"/>
  <c r="M22" i="65"/>
  <c r="N22" i="65" s="1"/>
  <c r="C10" i="66" l="1"/>
  <c r="D10" i="66" l="1"/>
  <c r="C7" i="66"/>
  <c r="C14" i="66" s="1"/>
  <c r="D7" i="66"/>
  <c r="B7" i="46"/>
  <c r="B11" i="46" s="1"/>
  <c r="B12" i="46" s="1"/>
  <c r="L17" i="44"/>
  <c r="L18" i="44"/>
  <c r="K17" i="44"/>
  <c r="K18" i="44"/>
  <c r="D14" i="66" l="1"/>
  <c r="G13" i="65" l="1"/>
  <c r="J13" i="65" l="1"/>
  <c r="E12" i="46" l="1"/>
  <c r="C7" i="46"/>
  <c r="C11" i="46" s="1"/>
  <c r="C12" i="46" s="1"/>
  <c r="D7" i="46"/>
  <c r="C12" i="65"/>
  <c r="M12" i="65" s="1"/>
  <c r="N12" i="65" s="1"/>
  <c r="C10" i="65"/>
  <c r="M10" i="65" s="1"/>
  <c r="N10" i="65" s="1"/>
  <c r="G12" i="46"/>
  <c r="J12" i="46" l="1"/>
  <c r="D11" i="46"/>
  <c r="R6" i="41"/>
  <c r="L12" i="46"/>
  <c r="T12" i="41"/>
  <c r="T6" i="41"/>
  <c r="K12" i="46"/>
  <c r="F12" i="46"/>
  <c r="D12" i="46" l="1"/>
  <c r="D12" i="65"/>
  <c r="D10" i="65"/>
  <c r="T17" i="41"/>
  <c r="R12" i="41"/>
  <c r="R17" i="41" s="1"/>
  <c r="G10" i="65" l="1"/>
  <c r="H10" i="65" s="1"/>
  <c r="J10" i="65"/>
  <c r="K10" i="65" s="1"/>
  <c r="G12" i="65"/>
  <c r="H12" i="65" s="1"/>
  <c r="J12" i="65"/>
  <c r="K12" i="65" s="1"/>
  <c r="I12" i="46"/>
  <c r="S7" i="41"/>
  <c r="S8" i="41"/>
  <c r="S13" i="41"/>
  <c r="S15" i="41"/>
  <c r="S9" i="41"/>
  <c r="S14" i="41"/>
  <c r="S10" i="41"/>
  <c r="S11" i="41"/>
  <c r="S16" i="41"/>
  <c r="H12" i="46"/>
  <c r="C9" i="72"/>
  <c r="K12" i="44"/>
  <c r="K11" i="44"/>
  <c r="U16" i="41"/>
  <c r="U13" i="41"/>
  <c r="U7" i="41"/>
  <c r="U14" i="41"/>
  <c r="U10" i="41"/>
  <c r="U15" i="41"/>
  <c r="U8" i="41"/>
  <c r="U9" i="41"/>
  <c r="U11" i="41"/>
  <c r="C10" i="72"/>
  <c r="L11" i="44"/>
  <c r="L12" i="44"/>
  <c r="U6" i="41" l="1"/>
  <c r="U12" i="41"/>
  <c r="AE20" i="41"/>
  <c r="S12" i="41"/>
  <c r="S6" i="41"/>
  <c r="D10" i="41" l="1"/>
  <c r="U17" i="41"/>
  <c r="C11" i="72"/>
  <c r="S17" i="41"/>
  <c r="M12" i="46" l="1"/>
</calcChain>
</file>

<file path=xl/sharedStrings.xml><?xml version="1.0" encoding="utf-8"?>
<sst xmlns="http://schemas.openxmlformats.org/spreadsheetml/2006/main" count="998" uniqueCount="529">
  <si>
    <r>
      <t xml:space="preserve">Sumário </t>
    </r>
    <r>
      <rPr>
        <sz val="14"/>
        <color theme="1"/>
        <rFont val="Cambria"/>
        <family val="1"/>
        <scheme val="major"/>
      </rPr>
      <t>(link para as tabelas abaixo)</t>
    </r>
  </si>
  <si>
    <r>
      <t xml:space="preserve">Observações </t>
    </r>
    <r>
      <rPr>
        <sz val="14"/>
        <color theme="1"/>
        <rFont val="Cambria"/>
        <family val="1"/>
        <scheme val="major"/>
      </rPr>
      <t>(a considerar quando passar para o Word)</t>
    </r>
  </si>
  <si>
    <t xml:space="preserve">Tabela 11-1: Indicadores: economia e energia </t>
  </si>
  <si>
    <t>Gráfico 11-1: Oferta interna de energia per capita</t>
  </si>
  <si>
    <t xml:space="preserve">Tabela 11-2: Evolução da oferta interna de energia no horizonte decenal </t>
  </si>
  <si>
    <t>Gráfico 11-2: Matriz energética brasileira: energia renovável e não-renovável</t>
  </si>
  <si>
    <t>Gráfico 11-3: Evolução da composição da oferta interna de energia por fonte</t>
  </si>
  <si>
    <t>Tabela 11-3: Geração total de eletricidade</t>
  </si>
  <si>
    <t>Gráfico 11-4: Evolução da composição da capacidade instalada total por fonte</t>
  </si>
  <si>
    <t>Tabela 11-4: Evolução da capacidade instalada total no Brasil</t>
  </si>
  <si>
    <t>Gráfico 11-5: Capacidade instalada de geração elétrica: renovável versus não-renovável</t>
  </si>
  <si>
    <t>Tabela 11-5: Evolução da oferta de energia primária</t>
  </si>
  <si>
    <t>Tabela 11-6: Evolução da oferta de petróleo e derivados</t>
  </si>
  <si>
    <t>Tabela 11-7: Balanço de gás natural seco</t>
  </si>
  <si>
    <t>Tabela 11-8: Síntese da Expansão Prevista no PDE 2031</t>
  </si>
  <si>
    <t>Faltam as figuras quando for passar para o Word</t>
  </si>
  <si>
    <t>Tabela 11-9: Elenco dos Projetos Hidrelétricos Disponibilizados ao PDE 2031</t>
  </si>
  <si>
    <t>Faltam os dados atualizados, pois não vêm da SEE</t>
  </si>
  <si>
    <t>Tabela 11-10: Síntese dos Resultados</t>
  </si>
  <si>
    <t>Falta completar o final da tabela com os dados de linhas de transmissão e subestações</t>
  </si>
  <si>
    <t>Tabela 11-11: Síntese das estimativas de investimentos</t>
  </si>
  <si>
    <t>Tabela 11-12: Projeção da Matriz Energética Nacional – Ano 2031</t>
  </si>
  <si>
    <t>Voltar para Sumário</t>
  </si>
  <si>
    <t>Tabela 11-1 - Indicadores: economia e energia</t>
  </si>
  <si>
    <t>Discriminação</t>
  </si>
  <si>
    <t>Variação média anual</t>
  </si>
  <si>
    <t>2021 a</t>
  </si>
  <si>
    <t>2027 a</t>
  </si>
  <si>
    <t>População Residente</t>
  </si>
  <si>
    <r>
      <t>(10</t>
    </r>
    <r>
      <rPr>
        <vertAlign val="superscript"/>
        <sz val="9"/>
        <color indexed="8"/>
        <rFont val="Cambria"/>
        <family val="1"/>
        <scheme val="major"/>
      </rPr>
      <t>6</t>
    </r>
    <r>
      <rPr>
        <sz val="9"/>
        <color indexed="8"/>
        <rFont val="Cambria"/>
        <family val="1"/>
        <scheme val="major"/>
      </rPr>
      <t xml:space="preserve"> hab)</t>
    </r>
  </si>
  <si>
    <t>PIB</t>
  </si>
  <si>
    <r>
      <t xml:space="preserve"> (10</t>
    </r>
    <r>
      <rPr>
        <vertAlign val="superscript"/>
        <sz val="9"/>
        <color indexed="8"/>
        <rFont val="Cambria"/>
        <family val="1"/>
        <scheme val="major"/>
      </rPr>
      <t>9</t>
    </r>
    <r>
      <rPr>
        <sz val="9"/>
        <color indexed="8"/>
        <rFont val="Cambria"/>
        <family val="1"/>
        <scheme val="major"/>
      </rPr>
      <t xml:space="preserve"> R$)</t>
    </r>
  </si>
  <si>
    <t>per capita (10³ R$/hab)</t>
  </si>
  <si>
    <t>Oferta interna de energia</t>
  </si>
  <si>
    <r>
      <t>(10</t>
    </r>
    <r>
      <rPr>
        <vertAlign val="superscript"/>
        <sz val="9"/>
        <color indexed="8"/>
        <rFont val="Cambria"/>
        <family val="1"/>
        <scheme val="major"/>
      </rPr>
      <t>6</t>
    </r>
    <r>
      <rPr>
        <sz val="9"/>
        <color indexed="8"/>
        <rFont val="Cambria"/>
        <family val="1"/>
        <scheme val="major"/>
      </rPr>
      <t xml:space="preserve"> tep)</t>
    </r>
  </si>
  <si>
    <t>por PIB (tep/10³ R$)</t>
  </si>
  <si>
    <t>per capita (tep/hab)</t>
  </si>
  <si>
    <t>Oferta interna de eletricidade</t>
  </si>
  <si>
    <t>(TWh)</t>
  </si>
  <si>
    <t>por PIB (kWh/10³ R$)</t>
  </si>
  <si>
    <t>per capita (kWh/hab)</t>
  </si>
  <si>
    <t>Consumo final energético</t>
  </si>
  <si>
    <t>Gráfico 11-1 - Oferta interna de energia per capita</t>
  </si>
  <si>
    <t>Tabela auxiliar para o gráfico</t>
  </si>
  <si>
    <t>OIE per capita (tep/hab.)</t>
  </si>
  <si>
    <t>Mundo (2019)</t>
  </si>
  <si>
    <t>China (2019)</t>
  </si>
  <si>
    <t>EUA (2019)</t>
  </si>
  <si>
    <t>União Europeia (2019)</t>
  </si>
  <si>
    <t>Países OCDE (2019)</t>
  </si>
  <si>
    <t>Brasil (2021)</t>
  </si>
  <si>
    <t>Brasil (2026)</t>
  </si>
  <si>
    <t>Brasil (2031)</t>
  </si>
  <si>
    <t>Tabela 11-2 - Evolução da oferta interna de energia no horizonte decenal</t>
  </si>
  <si>
    <t>Variação % a.a.
2021-2031</t>
  </si>
  <si>
    <t>10³ tep</t>
  </si>
  <si>
    <t>%</t>
  </si>
  <si>
    <t xml:space="preserve">    Energia Não Renovável</t>
  </si>
  <si>
    <t xml:space="preserve">       Petróleo e Derivados </t>
  </si>
  <si>
    <r>
      <t xml:space="preserve">       Gás Natural</t>
    </r>
    <r>
      <rPr>
        <vertAlign val="superscript"/>
        <sz val="10"/>
        <rFont val="Cambria"/>
        <family val="1"/>
        <scheme val="major"/>
      </rPr>
      <t xml:space="preserve"> </t>
    </r>
  </si>
  <si>
    <t xml:space="preserve">       Carvão Mineral e Derivados</t>
  </si>
  <si>
    <t xml:space="preserve">       Urânio (U3O8) e Derivados</t>
  </si>
  <si>
    <t xml:space="preserve">       Outras Não Renováveis</t>
  </si>
  <si>
    <t xml:space="preserve">    Energia Renovável</t>
  </si>
  <si>
    <t xml:space="preserve">       Hidráulica e Eletricidade </t>
  </si>
  <si>
    <t xml:space="preserve">       Lenha e Carvão Vegetal </t>
  </si>
  <si>
    <t xml:space="preserve">       Produtos da Cana-de-Açúcar</t>
  </si>
  <si>
    <t xml:space="preserve">       Outras Renováveis</t>
  </si>
  <si>
    <t xml:space="preserve">    Total</t>
  </si>
  <si>
    <t>Gráfico 11‑2 - Matriz energética brasileira: energia renovável e não-renovável</t>
  </si>
  <si>
    <t>Energia Renovável</t>
  </si>
  <si>
    <t>Energia Não Renovável</t>
  </si>
  <si>
    <t>Gráfico 11‑3 - Evolução da composição da oferta interna de energia por fonte</t>
  </si>
  <si>
    <t>Cópia da Tabela 11-2 para auxiliar a construção do Gráfico 11-3</t>
  </si>
  <si>
    <t>Tabela 11‑3 - Geração total de eletricidade</t>
  </si>
  <si>
    <t>Geração Centralizada</t>
  </si>
  <si>
    <t>TWh</t>
  </si>
  <si>
    <t>Hidráulica*</t>
  </si>
  <si>
    <t>Gás Natural</t>
  </si>
  <si>
    <t>Carvão</t>
  </si>
  <si>
    <t>Nuclear</t>
  </si>
  <si>
    <t>Biomassa</t>
  </si>
  <si>
    <t>Eólica</t>
  </si>
  <si>
    <t>Solar (centralizada)</t>
  </si>
  <si>
    <t>Outros**</t>
  </si>
  <si>
    <t>Subtotal (geração centralizada)</t>
  </si>
  <si>
    <t>Autoprodução &amp; Geração Distribuída</t>
  </si>
  <si>
    <r>
      <t>Biomassa (</t>
    </r>
    <r>
      <rPr>
        <sz val="8"/>
        <color rgb="FF000000"/>
        <rFont val="Cambria"/>
        <family val="1"/>
        <scheme val="major"/>
      </rPr>
      <t>biogás, bagaço de cana, lixívia e lenha</t>
    </r>
    <r>
      <rPr>
        <sz val="10"/>
        <color theme="1"/>
        <rFont val="Cambria"/>
        <family val="1"/>
        <scheme val="major"/>
      </rPr>
      <t>)</t>
    </r>
  </si>
  <si>
    <t>Solar</t>
  </si>
  <si>
    <t>Hidráulica</t>
  </si>
  <si>
    <t>Não renováveis</t>
  </si>
  <si>
    <t>Subtotal (autoprodução &amp; GD)</t>
  </si>
  <si>
    <t xml:space="preserve"> Total</t>
  </si>
  <si>
    <t>* Inclui parcela importada de Itaipu</t>
  </si>
  <si>
    <t>** Inclui Sistemas Isolados. Inclui RSU</t>
  </si>
  <si>
    <t>Gráfico 11‑4 - Evolução da composição da capacidade instalada total por fonte</t>
  </si>
  <si>
    <t>Térmica Renovável</t>
  </si>
  <si>
    <t>Térmica Não-Renovável</t>
  </si>
  <si>
    <t>APE + GD Renováveis</t>
  </si>
  <si>
    <t>APE + GD Não-Renováveis</t>
  </si>
  <si>
    <t>Tabela 11‑4 – Evolução da capacidade instalada total no Brasil</t>
  </si>
  <si>
    <t>FONTE</t>
  </si>
  <si>
    <t>MW</t>
  </si>
  <si>
    <t>CENTRALIZADA</t>
  </si>
  <si>
    <t xml:space="preserve">      RENOVÁVEIS</t>
  </si>
  <si>
    <t xml:space="preserve">      NÃO-RENOVÁVEIS</t>
  </si>
  <si>
    <t>AUTOPRODUÇÃO</t>
  </si>
  <si>
    <t xml:space="preserve">     RENOVÁVEIS</t>
  </si>
  <si>
    <t xml:space="preserve">     NÃO-RENOVÁVEIS</t>
  </si>
  <si>
    <t>GERAÇÃO DISTRIBUÍDA</t>
  </si>
  <si>
    <t>TOTAL DISPONÍVEL</t>
  </si>
  <si>
    <t xml:space="preserve">    RENOVÁVEIS</t>
  </si>
  <si>
    <t xml:space="preserve">    NÃO-RENOVÁVEIS</t>
  </si>
  <si>
    <t>Nota: Não inclui Parcela da UHE Itaipu pertencente ao Paraguai</t>
  </si>
  <si>
    <t>Emissões/OIE (t CO2/tep)</t>
  </si>
  <si>
    <t>Mundo (2016)</t>
  </si>
  <si>
    <t>China (2016)</t>
  </si>
  <si>
    <t>EUA (2016)</t>
  </si>
  <si>
    <t>União Europeia (2016)</t>
  </si>
  <si>
    <t>Países OCDE (2016)</t>
  </si>
  <si>
    <t>Emissões totais (t.CO2eq)</t>
  </si>
  <si>
    <t>Brasil (2019)</t>
  </si>
  <si>
    <t>Brasil (2024)</t>
  </si>
  <si>
    <t>Brasil (2029)</t>
  </si>
  <si>
    <t>Emissões/PIB (kg CO2/2010 USD)</t>
  </si>
  <si>
    <t>Gráfico 11‑6 - Matriz elétrica brasileira: energia renovável e não-renovável</t>
  </si>
  <si>
    <t>Tabela 11‑5 - Evolução da oferta de energia primária</t>
  </si>
  <si>
    <t>2021-2026</t>
  </si>
  <si>
    <t>2027-2031</t>
  </si>
  <si>
    <t>2021-2031</t>
  </si>
  <si>
    <t>Variação  (% a.a.)</t>
  </si>
  <si>
    <t xml:space="preserve">    Demanda Total de Energia (A)</t>
  </si>
  <si>
    <t xml:space="preserve">       Consumo Final </t>
  </si>
  <si>
    <r>
      <t xml:space="preserve">       Perdas</t>
    </r>
    <r>
      <rPr>
        <vertAlign val="superscript"/>
        <sz val="10"/>
        <rFont val="Cambria"/>
        <family val="1"/>
        <scheme val="major"/>
      </rPr>
      <t xml:space="preserve">1 </t>
    </r>
  </si>
  <si>
    <t xml:space="preserve">    Produção de Energia Primária (B)</t>
  </si>
  <si>
    <t xml:space="preserve">    Energia Excedente (B)-(A)</t>
  </si>
  <si>
    <t xml:space="preserve">    Percentual Excedente</t>
  </si>
  <si>
    <t>-</t>
  </si>
  <si>
    <t>Nota: (1) Energia não aproveitada, reinjeção e perdas na transformação, distribuição e armazenagem.</t>
  </si>
  <si>
    <t>Tabela 11‑6 - Evolução da oferta de petróleo e derivados</t>
  </si>
  <si>
    <t>Variação média anual (%)</t>
  </si>
  <si>
    <t xml:space="preserve">    Demanda de Derivados de Petróleo (A)</t>
  </si>
  <si>
    <r>
      <t xml:space="preserve">       Transformação</t>
    </r>
    <r>
      <rPr>
        <vertAlign val="superscript"/>
        <sz val="10"/>
        <rFont val="Cambria"/>
        <family val="1"/>
        <scheme val="major"/>
      </rPr>
      <t>1</t>
    </r>
  </si>
  <si>
    <t xml:space="preserve">    Produção de Petróleo (B)</t>
  </si>
  <si>
    <t xml:space="preserve">       Petróleo Bruto </t>
  </si>
  <si>
    <r>
      <t xml:space="preserve">       Líquidos de Gás Natural</t>
    </r>
    <r>
      <rPr>
        <vertAlign val="superscript"/>
        <sz val="10"/>
        <rFont val="Cambria"/>
        <family val="1"/>
        <scheme val="major"/>
      </rPr>
      <t>2</t>
    </r>
  </si>
  <si>
    <r>
      <t xml:space="preserve">       Biodiesel</t>
    </r>
    <r>
      <rPr>
        <vertAlign val="superscript"/>
        <sz val="10"/>
        <rFont val="Cambria"/>
        <family val="1"/>
        <scheme val="major"/>
      </rPr>
      <t>3</t>
    </r>
  </si>
  <si>
    <t>Nota:</t>
  </si>
  <si>
    <t>(1) Inclui geração de eletricidade, centrais petroquímicas e coquerias</t>
  </si>
  <si>
    <t>(2) Líquidos de gás natural provenientes de gasodutos e UPGN</t>
  </si>
  <si>
    <t>(3) Óleos vegetais para produção de biodiesel</t>
  </si>
  <si>
    <t>Tabela 11‑7 - Balanço de gás natural seco</t>
  </si>
  <si>
    <t>mil m³/dia</t>
  </si>
  <si>
    <t>Variação (% a.a.)</t>
  </si>
  <si>
    <t>Oferta Total Esperada</t>
  </si>
  <si>
    <t xml:space="preserve">    UPGN  </t>
  </si>
  <si>
    <t xml:space="preserve">    Importação</t>
  </si>
  <si>
    <t>Consumo Total Esperado</t>
  </si>
  <si>
    <t xml:space="preserve">   Transformação em Eletricidade (1)</t>
  </si>
  <si>
    <t xml:space="preserve">   Consumo final</t>
  </si>
  <si>
    <t xml:space="preserve">      Consumo não energético</t>
  </si>
  <si>
    <t xml:space="preserve">      Consumo energético</t>
  </si>
  <si>
    <t xml:space="preserve">         Setor energético (2)</t>
  </si>
  <si>
    <t xml:space="preserve">         Residencial</t>
  </si>
  <si>
    <t xml:space="preserve">         Transportes</t>
  </si>
  <si>
    <t xml:space="preserve">         Industrial</t>
  </si>
  <si>
    <t xml:space="preserve">         Outros (3)</t>
  </si>
  <si>
    <t>(1) Inclui autoprodução.</t>
  </si>
  <si>
    <t>(2) Não inclui consumo em E&amp;P.</t>
  </si>
  <si>
    <t>(3) Inclui os setores comercial, público e agropecuário.</t>
  </si>
  <si>
    <t>2013(*)</t>
  </si>
  <si>
    <t>2014(*)</t>
  </si>
  <si>
    <t>2015*</t>
  </si>
  <si>
    <t>2016-2021</t>
  </si>
  <si>
    <t>2016-2026</t>
  </si>
  <si>
    <t>Incremento</t>
  </si>
  <si>
    <t>Parâmetros Macroeconômicos</t>
  </si>
  <si>
    <r>
      <t>PIB</t>
    </r>
    <r>
      <rPr>
        <vertAlign val="superscript"/>
        <sz val="8"/>
        <color indexed="8"/>
        <rFont val="Arial Narrow"/>
        <family val="2"/>
      </rPr>
      <t xml:space="preserve"> (1)</t>
    </r>
    <r>
      <rPr>
        <sz val="8"/>
        <color indexed="8"/>
        <rFont val="Arial Narrow"/>
        <family val="2"/>
      </rPr>
      <t>     (10</t>
    </r>
    <r>
      <rPr>
        <vertAlign val="superscript"/>
        <sz val="8"/>
        <color indexed="8"/>
        <rFont val="Arial Narrow"/>
        <family val="2"/>
      </rPr>
      <t>9</t>
    </r>
    <r>
      <rPr>
        <sz val="8"/>
        <color indexed="8"/>
        <rFont val="Arial Narrow"/>
        <family val="2"/>
      </rPr>
      <t xml:space="preserve"> R$ [2010])</t>
    </r>
  </si>
  <si>
    <r>
      <t>População</t>
    </r>
    <r>
      <rPr>
        <vertAlign val="superscript"/>
        <sz val="8"/>
        <color indexed="8"/>
        <rFont val="Arial Narrow"/>
        <family val="2"/>
      </rPr>
      <t xml:space="preserve"> (2)</t>
    </r>
    <r>
      <rPr>
        <sz val="8"/>
        <color indexed="8"/>
        <rFont val="Arial Narrow"/>
        <family val="2"/>
      </rPr>
      <t>    (10</t>
    </r>
    <r>
      <rPr>
        <vertAlign val="superscript"/>
        <sz val="8"/>
        <color indexed="8"/>
        <rFont val="Arial Narrow"/>
        <family val="2"/>
      </rPr>
      <t>6</t>
    </r>
    <r>
      <rPr>
        <sz val="8"/>
        <color indexed="8"/>
        <rFont val="Arial Narrow"/>
        <family val="2"/>
      </rPr>
      <t xml:space="preserve"> hab)</t>
    </r>
  </si>
  <si>
    <t>PIB per capita (10³ R$/hab)</t>
  </si>
  <si>
    <t>Oferta Interna de Energia per capita (tep/hab)</t>
  </si>
  <si>
    <t>Oferta Interna de Energia por PIB (tep/10³ R$)</t>
  </si>
  <si>
    <r>
      <t>Oferta Interna de Eletricidade por PIB (kWh/10</t>
    </r>
    <r>
      <rPr>
        <vertAlign val="superscript"/>
        <sz val="8"/>
        <color indexed="8"/>
        <rFont val="Arial Narrow"/>
        <family val="2"/>
      </rPr>
      <t>3</t>
    </r>
    <r>
      <rPr>
        <sz val="8"/>
        <color indexed="8"/>
        <rFont val="Arial Narrow"/>
        <family val="2"/>
      </rPr>
      <t xml:space="preserve"> R$)</t>
    </r>
  </si>
  <si>
    <r>
      <t>Intensidade Energética da Economia (tep/10</t>
    </r>
    <r>
      <rPr>
        <vertAlign val="superscript"/>
        <sz val="8"/>
        <color indexed="8"/>
        <rFont val="Arial Narrow"/>
        <family val="2"/>
      </rPr>
      <t>6</t>
    </r>
    <r>
      <rPr>
        <sz val="8"/>
        <color indexed="8"/>
        <rFont val="Arial Narrow"/>
        <family val="2"/>
      </rPr>
      <t xml:space="preserve"> R$)</t>
    </r>
  </si>
  <si>
    <r>
      <t xml:space="preserve">Elasticidade-renda do consumo de energia </t>
    </r>
    <r>
      <rPr>
        <vertAlign val="superscript"/>
        <sz val="8"/>
        <color indexed="8"/>
        <rFont val="Arial Narrow"/>
        <family val="2"/>
      </rPr>
      <t>(2)</t>
    </r>
  </si>
  <si>
    <r>
      <t>Consumo Final</t>
    </r>
    <r>
      <rPr>
        <vertAlign val="superscript"/>
        <sz val="8"/>
        <color indexed="8"/>
        <rFont val="Arial Narrow"/>
        <family val="2"/>
      </rPr>
      <t xml:space="preserve"> (</t>
    </r>
    <r>
      <rPr>
        <sz val="8"/>
        <color indexed="8"/>
        <rFont val="Arial Narrow"/>
        <family val="2"/>
      </rPr>
      <t>³</t>
    </r>
    <r>
      <rPr>
        <vertAlign val="superscript"/>
        <sz val="8"/>
        <color indexed="8"/>
        <rFont val="Arial Narrow"/>
        <family val="2"/>
      </rPr>
      <t>)</t>
    </r>
    <r>
      <rPr>
        <sz val="8"/>
        <color indexed="8"/>
        <rFont val="Arial Narrow"/>
        <family val="2"/>
      </rPr>
      <t xml:space="preserve"> </t>
    </r>
    <r>
      <rPr>
        <b/>
        <sz val="8"/>
        <color indexed="8"/>
        <rFont val="Arial Narrow"/>
        <family val="2"/>
      </rPr>
      <t>  </t>
    </r>
    <r>
      <rPr>
        <sz val="8"/>
        <color indexed="8"/>
        <rFont val="Arial Narrow"/>
        <family val="2"/>
      </rPr>
      <t>(10</t>
    </r>
    <r>
      <rPr>
        <vertAlign val="superscript"/>
        <sz val="8"/>
        <color indexed="8"/>
        <rFont val="Arial Narrow"/>
        <family val="2"/>
      </rPr>
      <t>6</t>
    </r>
    <r>
      <rPr>
        <sz val="8"/>
        <color indexed="8"/>
        <rFont val="Arial Narrow"/>
        <family val="2"/>
      </rPr>
      <t xml:space="preserve"> tep)</t>
    </r>
  </si>
  <si>
    <r>
      <t> Gás Natural (10</t>
    </r>
    <r>
      <rPr>
        <i/>
        <vertAlign val="superscript"/>
        <sz val="8"/>
        <color indexed="8"/>
        <rFont val="Arial Narrow"/>
        <family val="2"/>
      </rPr>
      <t>6</t>
    </r>
    <r>
      <rPr>
        <i/>
        <sz val="8"/>
        <color indexed="8"/>
        <rFont val="Arial Narrow"/>
        <family val="2"/>
      </rPr>
      <t xml:space="preserve"> m³/dia)</t>
    </r>
  </si>
  <si>
    <r>
      <t> Carvão Mineral e Coque (10</t>
    </r>
    <r>
      <rPr>
        <i/>
        <vertAlign val="superscript"/>
        <sz val="8"/>
        <color indexed="8"/>
        <rFont val="Arial Narrow"/>
        <family val="2"/>
      </rPr>
      <t>6</t>
    </r>
    <r>
      <rPr>
        <i/>
        <sz val="8"/>
        <color indexed="8"/>
        <rFont val="Arial Narrow"/>
        <family val="2"/>
      </rPr>
      <t xml:space="preserve"> t)</t>
    </r>
  </si>
  <si>
    <r>
      <t> Lenha (10</t>
    </r>
    <r>
      <rPr>
        <i/>
        <vertAlign val="superscript"/>
        <sz val="8"/>
        <color indexed="8"/>
        <rFont val="Arial Narrow"/>
        <family val="2"/>
      </rPr>
      <t>6</t>
    </r>
    <r>
      <rPr>
        <i/>
        <sz val="8"/>
        <color indexed="8"/>
        <rFont val="Arial Narrow"/>
        <family val="2"/>
      </rPr>
      <t xml:space="preserve"> t)</t>
    </r>
  </si>
  <si>
    <r>
      <t>Carvão Vegetal (10</t>
    </r>
    <r>
      <rPr>
        <i/>
        <vertAlign val="superscript"/>
        <sz val="8"/>
        <color indexed="8"/>
        <rFont val="Arial Narrow"/>
        <family val="2"/>
      </rPr>
      <t xml:space="preserve">6 </t>
    </r>
    <r>
      <rPr>
        <i/>
        <sz val="8"/>
        <color indexed="8"/>
        <rFont val="Arial Narrow"/>
        <family val="2"/>
      </rPr>
      <t>t)</t>
    </r>
  </si>
  <si>
    <r>
      <t> Bagaço de Cana (10</t>
    </r>
    <r>
      <rPr>
        <i/>
        <vertAlign val="superscript"/>
        <sz val="8"/>
        <color indexed="8"/>
        <rFont val="Arial Narrow"/>
        <family val="2"/>
      </rPr>
      <t>6</t>
    </r>
    <r>
      <rPr>
        <i/>
        <sz val="8"/>
        <color indexed="8"/>
        <rFont val="Arial Narrow"/>
        <family val="2"/>
      </rPr>
      <t xml:space="preserve"> t)</t>
    </r>
  </si>
  <si>
    <t> Eletricidade (TWh)</t>
  </si>
  <si>
    <r>
      <t> Etanol (10</t>
    </r>
    <r>
      <rPr>
        <i/>
        <vertAlign val="superscript"/>
        <sz val="8"/>
        <color indexed="8"/>
        <rFont val="Arial Narrow"/>
        <family val="2"/>
      </rPr>
      <t>6</t>
    </r>
    <r>
      <rPr>
        <i/>
        <sz val="8"/>
        <color indexed="8"/>
        <rFont val="Arial Narrow"/>
        <family val="2"/>
      </rPr>
      <t xml:space="preserve"> m³)</t>
    </r>
  </si>
  <si>
    <r>
      <t> Biodiesel (10</t>
    </r>
    <r>
      <rPr>
        <i/>
        <vertAlign val="superscript"/>
        <sz val="8"/>
        <color indexed="8"/>
        <rFont val="Arial Narrow"/>
        <family val="2"/>
      </rPr>
      <t>6</t>
    </r>
    <r>
      <rPr>
        <i/>
        <sz val="8"/>
        <color indexed="8"/>
        <rFont val="Arial Narrow"/>
        <family val="2"/>
      </rPr>
      <t xml:space="preserve"> m³)</t>
    </r>
  </si>
  <si>
    <r>
      <t>Derivados de petróleo (10</t>
    </r>
    <r>
      <rPr>
        <i/>
        <vertAlign val="superscript"/>
        <sz val="7.5"/>
        <color indexed="8"/>
        <rFont val="Arial Narrow"/>
        <family val="2"/>
      </rPr>
      <t>6</t>
    </r>
    <r>
      <rPr>
        <i/>
        <sz val="7.5"/>
        <color indexed="8"/>
        <rFont val="Arial Narrow"/>
        <family val="2"/>
      </rPr>
      <t xml:space="preserve"> m³)</t>
    </r>
  </si>
  <si>
    <r>
      <t>    Óleo Diesel (10</t>
    </r>
    <r>
      <rPr>
        <i/>
        <vertAlign val="superscript"/>
        <sz val="8"/>
        <color indexed="8"/>
        <rFont val="Arial Narrow"/>
        <family val="2"/>
      </rPr>
      <t>6</t>
    </r>
    <r>
      <rPr>
        <i/>
        <sz val="8"/>
        <color indexed="8"/>
        <rFont val="Arial Narrow"/>
        <family val="2"/>
      </rPr>
      <t xml:space="preserve"> m³)</t>
    </r>
  </si>
  <si>
    <r>
      <t>    Óleo Combustível (10</t>
    </r>
    <r>
      <rPr>
        <i/>
        <vertAlign val="superscript"/>
        <sz val="8"/>
        <color indexed="8"/>
        <rFont val="Arial Narrow"/>
        <family val="2"/>
      </rPr>
      <t>6</t>
    </r>
    <r>
      <rPr>
        <i/>
        <sz val="8"/>
        <color indexed="8"/>
        <rFont val="Arial Narrow"/>
        <family val="2"/>
      </rPr>
      <t xml:space="preserve"> m³)</t>
    </r>
  </si>
  <si>
    <r>
      <t>    Gasolina (10</t>
    </r>
    <r>
      <rPr>
        <i/>
        <vertAlign val="superscript"/>
        <sz val="8"/>
        <color indexed="8"/>
        <rFont val="Arial Narrow"/>
        <family val="2"/>
      </rPr>
      <t>6</t>
    </r>
    <r>
      <rPr>
        <i/>
        <sz val="8"/>
        <color indexed="8"/>
        <rFont val="Arial Narrow"/>
        <family val="2"/>
      </rPr>
      <t xml:space="preserve"> m³)</t>
    </r>
  </si>
  <si>
    <r>
      <t>    GLP (10</t>
    </r>
    <r>
      <rPr>
        <i/>
        <vertAlign val="superscript"/>
        <sz val="8"/>
        <color indexed="8"/>
        <rFont val="Arial Narrow"/>
        <family val="2"/>
      </rPr>
      <t>6</t>
    </r>
    <r>
      <rPr>
        <i/>
        <sz val="8"/>
        <color indexed="8"/>
        <rFont val="Arial Narrow"/>
        <family val="2"/>
      </rPr>
      <t xml:space="preserve"> m³)</t>
    </r>
  </si>
  <si>
    <r>
      <t>    Querosene (10</t>
    </r>
    <r>
      <rPr>
        <i/>
        <vertAlign val="superscript"/>
        <sz val="8"/>
        <color indexed="8"/>
        <rFont val="Arial Narrow"/>
        <family val="2"/>
      </rPr>
      <t>6</t>
    </r>
    <r>
      <rPr>
        <i/>
        <sz val="8"/>
        <color indexed="8"/>
        <rFont val="Arial Narrow"/>
        <family val="2"/>
      </rPr>
      <t xml:space="preserve"> m³)</t>
    </r>
  </si>
  <si>
    <r>
      <t xml:space="preserve">Oferta Interna de Energia </t>
    </r>
    <r>
      <rPr>
        <sz val="8"/>
        <color indexed="8"/>
        <rFont val="Arial Narrow"/>
        <family val="2"/>
      </rPr>
      <t>(10</t>
    </r>
    <r>
      <rPr>
        <vertAlign val="superscript"/>
        <sz val="8"/>
        <color indexed="8"/>
        <rFont val="Arial Narrow"/>
        <family val="2"/>
      </rPr>
      <t>6</t>
    </r>
    <r>
      <rPr>
        <sz val="8"/>
        <color indexed="8"/>
        <rFont val="Arial Narrow"/>
        <family val="2"/>
      </rPr>
      <t xml:space="preserve"> tep)</t>
    </r>
  </si>
  <si>
    <t> Petróleo (10³ barris/dia)</t>
  </si>
  <si>
    <t>Produção</t>
  </si>
  <si>
    <t>Exportação</t>
  </si>
  <si>
    <r>
      <t>Gás Natural (10</t>
    </r>
    <r>
      <rPr>
        <i/>
        <vertAlign val="superscript"/>
        <sz val="8"/>
        <color indexed="8"/>
        <rFont val="Arial Narrow"/>
        <family val="2"/>
      </rPr>
      <t>6</t>
    </r>
    <r>
      <rPr>
        <i/>
        <sz val="8"/>
        <color indexed="8"/>
        <rFont val="Arial Narrow"/>
        <family val="2"/>
      </rPr>
      <t xml:space="preserve"> m³/dia)</t>
    </r>
  </si>
  <si>
    <r>
      <t xml:space="preserve">Produção </t>
    </r>
    <r>
      <rPr>
        <vertAlign val="superscript"/>
        <sz val="8"/>
        <color indexed="8"/>
        <rFont val="Arial Narrow"/>
        <family val="2"/>
      </rPr>
      <t>(4)</t>
    </r>
  </si>
  <si>
    <t>Importação</t>
  </si>
  <si>
    <r>
      <t>Óleo Diesel (10</t>
    </r>
    <r>
      <rPr>
        <i/>
        <vertAlign val="superscript"/>
        <sz val="8"/>
        <color indexed="8"/>
        <rFont val="Arial Narrow"/>
        <family val="2"/>
      </rPr>
      <t>6</t>
    </r>
    <r>
      <rPr>
        <i/>
        <sz val="8"/>
        <color indexed="8"/>
        <rFont val="Arial Narrow"/>
        <family val="2"/>
      </rPr>
      <t xml:space="preserve"> m³)</t>
    </r>
  </si>
  <si>
    <r>
      <t>Óleo Combustível (10</t>
    </r>
    <r>
      <rPr>
        <i/>
        <vertAlign val="superscript"/>
        <sz val="8"/>
        <color indexed="8"/>
        <rFont val="Arial Narrow"/>
        <family val="2"/>
      </rPr>
      <t>6</t>
    </r>
    <r>
      <rPr>
        <i/>
        <sz val="8"/>
        <color indexed="8"/>
        <rFont val="Arial Narrow"/>
        <family val="2"/>
      </rPr>
      <t xml:space="preserve"> m³)</t>
    </r>
  </si>
  <si>
    <r>
      <t>Gasolina (10</t>
    </r>
    <r>
      <rPr>
        <i/>
        <vertAlign val="superscript"/>
        <sz val="8"/>
        <color indexed="8"/>
        <rFont val="Arial Narrow"/>
        <family val="2"/>
      </rPr>
      <t>6</t>
    </r>
    <r>
      <rPr>
        <i/>
        <sz val="8"/>
        <color indexed="8"/>
        <rFont val="Arial Narrow"/>
        <family val="2"/>
      </rPr>
      <t xml:space="preserve"> m³)</t>
    </r>
  </si>
  <si>
    <r>
      <t>GLP (10</t>
    </r>
    <r>
      <rPr>
        <i/>
        <vertAlign val="superscript"/>
        <sz val="8"/>
        <color indexed="8"/>
        <rFont val="Arial Narrow"/>
        <family val="2"/>
      </rPr>
      <t>6</t>
    </r>
    <r>
      <rPr>
        <i/>
        <sz val="8"/>
        <color indexed="8"/>
        <rFont val="Arial Narrow"/>
        <family val="2"/>
      </rPr>
      <t xml:space="preserve"> m³)</t>
    </r>
  </si>
  <si>
    <t>Importação/Exportação</t>
  </si>
  <si>
    <r>
      <t>Querosene (10</t>
    </r>
    <r>
      <rPr>
        <i/>
        <vertAlign val="superscript"/>
        <sz val="8"/>
        <color indexed="8"/>
        <rFont val="Arial Narrow"/>
        <family val="2"/>
      </rPr>
      <t>6</t>
    </r>
    <r>
      <rPr>
        <i/>
        <sz val="8"/>
        <color indexed="8"/>
        <rFont val="Arial Narrow"/>
        <family val="2"/>
      </rPr>
      <t xml:space="preserve"> m³)</t>
    </r>
  </si>
  <si>
    <r>
      <t>Etanol (10</t>
    </r>
    <r>
      <rPr>
        <i/>
        <vertAlign val="superscript"/>
        <sz val="8"/>
        <color indexed="8"/>
        <rFont val="Arial Narrow"/>
        <family val="2"/>
      </rPr>
      <t>6</t>
    </r>
    <r>
      <rPr>
        <i/>
        <sz val="8"/>
        <color indexed="8"/>
        <rFont val="Arial Narrow"/>
        <family val="2"/>
      </rPr>
      <t xml:space="preserve"> m³)</t>
    </r>
  </si>
  <si>
    <t>Eletricidade (TWh)</t>
  </si>
  <si>
    <t>Produção+importação</t>
  </si>
  <si>
    <r>
      <t xml:space="preserve">Capacidade Instalada de Geração Elétrica no SIN </t>
    </r>
    <r>
      <rPr>
        <vertAlign val="superscript"/>
        <sz val="8"/>
        <color indexed="8"/>
        <rFont val="Tahoma"/>
        <family val="2"/>
      </rPr>
      <t>(5)</t>
    </r>
    <r>
      <rPr>
        <sz val="8"/>
        <color indexed="8"/>
        <rFont val="Tahoma"/>
        <family val="2"/>
      </rPr>
      <t>   (GW)</t>
    </r>
  </si>
  <si>
    <r>
      <t xml:space="preserve">Hidráulica </t>
    </r>
    <r>
      <rPr>
        <vertAlign val="superscript"/>
        <sz val="8"/>
        <color indexed="8"/>
        <rFont val="Tahoma"/>
        <family val="2"/>
      </rPr>
      <t>(6)</t>
    </r>
  </si>
  <si>
    <r>
      <t xml:space="preserve">Térmica </t>
    </r>
    <r>
      <rPr>
        <vertAlign val="superscript"/>
        <sz val="8"/>
        <color indexed="8"/>
        <rFont val="Tahoma"/>
        <family val="2"/>
      </rPr>
      <t>(7)</t>
    </r>
  </si>
  <si>
    <t>PCH+Biomassa+Eólica</t>
  </si>
  <si>
    <r>
      <t xml:space="preserve">Transmissão de Energia Elétrica </t>
    </r>
    <r>
      <rPr>
        <vertAlign val="superscript"/>
        <sz val="8"/>
        <color indexed="8"/>
        <rFont val="Tahoma"/>
        <family val="2"/>
      </rPr>
      <t>(9)</t>
    </r>
  </si>
  <si>
    <t>Linhas de Transmissão (km)</t>
  </si>
  <si>
    <t>133.415 </t>
  </si>
  <si>
    <t>Subestações (MVA)</t>
  </si>
  <si>
    <t>279.549 </t>
  </si>
  <si>
    <r>
      <t xml:space="preserve">Transporte de Gás Natural </t>
    </r>
    <r>
      <rPr>
        <sz val="8"/>
        <color indexed="8"/>
        <rFont val="Tahoma"/>
        <family val="2"/>
      </rPr>
      <t>( km gasodutos)</t>
    </r>
  </si>
  <si>
    <t xml:space="preserve">Notas:       (*) Os valores de 2014 relativos ao consumo final energético e à oferta interna de energia têm como referência dados preliminares do BEN 2015.   </t>
  </si>
  <si>
    <t xml:space="preserve">(1) PIB 2009 divulgado pelo IBGE.      </t>
  </si>
  <si>
    <t>(2) Estimativa do IBGE para a população residente em 1º de julho de cada ano.</t>
  </si>
  <si>
    <t>(3) Inclui o consumo do setor energético e consumo não energético.</t>
  </si>
  <si>
    <t>(4) Estimativa referente a recursos descobertos.</t>
  </si>
  <si>
    <t>(5) Fonte: ONS. Refere-se a dezembro/2009. Não abrange as instalações dos sistemas isolados e a capacidade instalada nos pontos de consumo (autoprodução).</t>
  </si>
  <si>
    <t xml:space="preserve">(6) Inclui as parcelas nacional e importada da geração da UHE Itaipu. </t>
  </si>
  <si>
    <t xml:space="preserve">(7) Contempla a geração a gás natural, carvão mineral, óleos combustível e diesel, gás industrial. </t>
  </si>
  <si>
    <t>(8) Salienta-se que o incremento de 91% se concentra totalmente no primeiro quinquênio, decorrente da entrada em operação de usinas já autorizadas, entre elas as usinas com contratos assinados nos leilões de energia nova. Ou seja, o incremento no segundo quinquênio é nulo.</t>
  </si>
  <si>
    <t xml:space="preserve">(9) Os valores se referem a instalações da Rede Básica do SIN, incluindo subestações de fronteira com a rede de distribuição. </t>
  </si>
  <si>
    <t>Síntese das estimativas de investimentos</t>
  </si>
  <si>
    <t>R$ bilhões</t>
  </si>
  <si>
    <t>Período 2010-2019</t>
  </si>
  <si>
    <t>Oferta de Energia Elétrica</t>
  </si>
  <si>
    <r>
      <t xml:space="preserve">Geração </t>
    </r>
    <r>
      <rPr>
        <i/>
        <vertAlign val="superscript"/>
        <sz val="8"/>
        <color indexed="8"/>
        <rFont val="Tahoma"/>
        <family val="2"/>
      </rPr>
      <t>(1)</t>
    </r>
  </si>
  <si>
    <r>
      <t xml:space="preserve">Transmissão </t>
    </r>
    <r>
      <rPr>
        <i/>
        <vertAlign val="superscript"/>
        <sz val="8"/>
        <color indexed="8"/>
        <rFont val="Tahoma"/>
        <family val="2"/>
      </rPr>
      <t>(2)</t>
    </r>
  </si>
  <si>
    <t>Petróleo e Gás Natural</t>
  </si>
  <si>
    <t xml:space="preserve">Exploração e Produção de Petróleo e Gás Natural </t>
  </si>
  <si>
    <t xml:space="preserve">Oferta de Derivados de Petróleo </t>
  </si>
  <si>
    <t>- Refino</t>
  </si>
  <si>
    <t>157</t>
  </si>
  <si>
    <t>- Infraestrutura de transporte</t>
  </si>
  <si>
    <t>16</t>
  </si>
  <si>
    <t xml:space="preserve">Oferta de Gás Natural </t>
  </si>
  <si>
    <t>Oferta de Biocombustíveis Líquidos</t>
  </si>
  <si>
    <t>Etanol - Usinas de produção</t>
  </si>
  <si>
    <t>Etanol  - Infraestrutura dutoviária e portuária</t>
  </si>
  <si>
    <t xml:space="preserve">Biodiesel - Usinas de produção </t>
  </si>
  <si>
    <t> TOTAL</t>
  </si>
  <si>
    <t xml:space="preserve">(1) Inclui usinas já concedidas e autorizadas, entre elas, as usinas com contratos assinados nos leilões de energia nova. Sem incorporar tais instalações, o valor é da ordem de R$ 69 bilhões.      </t>
  </si>
  <si>
    <t xml:space="preserve">(2) Inclui instalações já licitadas que entrarão em operação no período decenal. Sem computar tais instalações, o valor é da ordem de R$ 26 bilhões.  </t>
  </si>
  <si>
    <t>Taxa de câmbio referencial: R$ 1,75 / US$ (comercial, média de venda, dezembro/2009).</t>
  </si>
  <si>
    <t>COP 21</t>
  </si>
  <si>
    <t>PDE 2026</t>
  </si>
  <si>
    <t>Geração Centralizada [A]
(atendimento à carga)</t>
  </si>
  <si>
    <t>GD</t>
  </si>
  <si>
    <t>GD FV</t>
  </si>
  <si>
    <t>GD Biomassa</t>
  </si>
  <si>
    <t>GD Cogen GN</t>
  </si>
  <si>
    <t>TOTAL</t>
  </si>
  <si>
    <t>retirei "centralizada"</t>
  </si>
  <si>
    <t>Outros</t>
  </si>
  <si>
    <t>Subtotal (atend. Carga)</t>
  </si>
  <si>
    <t>Subtotal [A]</t>
  </si>
  <si>
    <t>Sistemas Isolados, Autoprodução &amp; Geração Distribuída [B]</t>
  </si>
  <si>
    <t>Biomassa*</t>
  </si>
  <si>
    <t>Sistemas Isolados</t>
  </si>
  <si>
    <t>Subtotal (autoprod. &amp; GD)</t>
  </si>
  <si>
    <t>Subtotal [B]</t>
  </si>
  <si>
    <t xml:space="preserve"> Total [A] + [B]</t>
  </si>
  <si>
    <t>Biomassa+eólica+solar</t>
  </si>
  <si>
    <t>*Biomassa inclui biogás, bagaço de cana, lixívia e lenha</t>
  </si>
  <si>
    <t>Geração Distribuída</t>
  </si>
  <si>
    <t>Biogás</t>
  </si>
  <si>
    <t>Subtotal (geração distrib.)</t>
  </si>
  <si>
    <t>*Hidráulica: inclui importação de Itaipu. (SOMENTE IMPORT. OU TUDO??)</t>
  </si>
  <si>
    <t>Capacidade Instalada</t>
  </si>
  <si>
    <t>GW</t>
  </si>
  <si>
    <t>Hidro</t>
  </si>
  <si>
    <t xml:space="preserve"> Total SIN</t>
  </si>
  <si>
    <t xml:space="preserve"> Total (SIN + GD)</t>
  </si>
  <si>
    <t>Tabela 11‑8 – Síntese da Expansão Prevista no PDE 2031</t>
  </si>
  <si>
    <t>Fonte ou atividade</t>
  </si>
  <si>
    <t>Expansão do PDE 2031</t>
  </si>
  <si>
    <t>UHEs</t>
  </si>
  <si>
    <t>5.201 MW</t>
  </si>
  <si>
    <t xml:space="preserve">Contratado: 254 MW (2 UHEs no Sul e 1 no Centro-Oeste) </t>
  </si>
  <si>
    <t>Indicativo: 4.947 MW, sendo modernização de UHEs existentes (4.297 MW) em todas as regiões do Brasil e 1 UHE (650 MW) no Norte</t>
  </si>
  <si>
    <t>PCHs e CGHs</t>
  </si>
  <si>
    <t>3.335 MW</t>
  </si>
  <si>
    <t>Contratado: 635 MW (47 PCHs e CGHs) principalmente nas regiões Sul, Sudeste e Centro-Oeste</t>
  </si>
  <si>
    <t>Indicativo: 2.700 MW nos subsistemas SE/CO e S</t>
  </si>
  <si>
    <r>
      <t xml:space="preserve">UTEs não renováveis </t>
    </r>
    <r>
      <rPr>
        <sz val="10"/>
        <color rgb="FF004C73"/>
        <rFont val="Cambria"/>
        <family val="1"/>
        <scheme val="major"/>
      </rPr>
      <t>(gás natural, gás de refinaria, carvão mineral, diesel e nuclear)</t>
    </r>
  </si>
  <si>
    <t>31.274 MW</t>
  </si>
  <si>
    <t xml:space="preserve">Contratado: 6.250 MW de UTEs, sendo 7 UTEs GN novas (3.321 MW) e 4 existentes com novos contratos (1.196 MW), 1 nuclear (1.405 MW), 2 UTEs a diesel (288 MW) e 1 UTE gás de refinaria (40 MW).  </t>
  </si>
  <si>
    <t>Indicativo: 25.024 MW, sendo 22.624 MW de UTEs GN em todas as regiões, 1.000 MW  de UTE nuclear no Sudeste e 1.400 MW de UTE a carvão mineral no Sul.</t>
  </si>
  <si>
    <r>
      <t xml:space="preserve">UTEs renováveis </t>
    </r>
    <r>
      <rPr>
        <sz val="10"/>
        <color rgb="FF004C73"/>
        <rFont val="Cambria"/>
        <family val="1"/>
        <scheme val="major"/>
      </rPr>
      <t>(bagaço de cana, licor negro, cavaco/resíduos e RSU)</t>
    </r>
  </si>
  <si>
    <t>2.060 MW</t>
  </si>
  <si>
    <t>Contratado: 1.360 MW (21 UTEs novas e 7 ampliadas), sendo 18 UTEs de bagaço de cana (666 MW), 2 UTEs licor negro (363 MW), 4 UTEs cavaco/resíduos (297 MW) e 4 UTEs a biogás de RSU (33 MW) distribuídas no S, SE, CO e NE.</t>
  </si>
  <si>
    <t>Indicativo: 700 MW, sendo 400 MW UTE a bagaço e 300 MW UTE a RSU no subsistema SE/CO</t>
  </si>
  <si>
    <t>Eólicas</t>
  </si>
  <si>
    <t xml:space="preserve">10.689 MW </t>
  </si>
  <si>
    <t xml:space="preserve">Contratado: 6.345 MW (183 parques) no Nordeste </t>
  </si>
  <si>
    <t xml:space="preserve">Indicativo: 4.344 MW no NE </t>
  </si>
  <si>
    <t>Usinas fotovoltaicas</t>
  </si>
  <si>
    <t>5.814 MW</t>
  </si>
  <si>
    <t>Contratado: 3.114 MW (92 empreendimentos) no Nordeste e no Sudeste</t>
  </si>
  <si>
    <t>Indicativo: 2.700 MW no subsistema SE/CO</t>
  </si>
  <si>
    <t>Transmissão</t>
  </si>
  <si>
    <t>33.633 km (20% do sistema)</t>
  </si>
  <si>
    <t>17.361 km (52%) estão previstos para entrar em operação até 2026</t>
  </si>
  <si>
    <t>Análise socioambiental de 269 LTs, 25.086 km de extensão</t>
  </si>
  <si>
    <t>Norte (4.686 km), Nordeste (3.917 km), Centro-Oeste (1.524 km), Sudeste (9.951 km) e Sul (5.008 km)</t>
  </si>
  <si>
    <t>E&amp;P de petróleo e GN</t>
  </si>
  <si>
    <r>
      <t>277 UPs</t>
    </r>
    <r>
      <rPr>
        <b/>
        <sz val="10"/>
        <rFont val="Cambria"/>
        <family val="1"/>
        <scheme val="major"/>
      </rPr>
      <t xml:space="preserve"> </t>
    </r>
    <r>
      <rPr>
        <sz val="10"/>
        <rFont val="Cambria"/>
        <family val="1"/>
        <scheme val="major"/>
      </rPr>
      <t xml:space="preserve">(Unidades Produtivas em áreas contratadas) de exploração e produção de petróleo e gás natural, </t>
    </r>
    <r>
      <rPr>
        <b/>
        <sz val="10"/>
        <color rgb="FF004C73"/>
        <rFont val="Cambria"/>
        <family val="1"/>
        <scheme val="major"/>
      </rPr>
      <t>além de 27 UPUs</t>
    </r>
    <r>
      <rPr>
        <b/>
        <sz val="10"/>
        <rFont val="Cambria"/>
        <family val="1"/>
        <scheme val="major"/>
      </rPr>
      <t xml:space="preserve"> </t>
    </r>
    <r>
      <rPr>
        <sz val="10"/>
        <rFont val="Cambria"/>
        <family val="1"/>
        <scheme val="major"/>
      </rPr>
      <t>(UPs em áreas não contratadas que pertencem à União)</t>
    </r>
  </si>
  <si>
    <t>UPs terrestres nas regiões Norte, Nordeste, Centro-Oeste e Sudeste</t>
  </si>
  <si>
    <r>
      <t xml:space="preserve">UPs </t>
    </r>
    <r>
      <rPr>
        <i/>
        <sz val="10"/>
        <rFont val="Cambria"/>
        <family val="1"/>
        <scheme val="major"/>
      </rPr>
      <t xml:space="preserve">offshore </t>
    </r>
    <r>
      <rPr>
        <sz val="10"/>
        <rFont val="Cambria"/>
        <family val="1"/>
        <scheme val="major"/>
      </rPr>
      <t>estão concentradas no Sudeste, com ocorrência também no Norte, Nordeste e Sul</t>
    </r>
  </si>
  <si>
    <t xml:space="preserve">UPUs terrestres nas regiões Norte, Nordeste e Sudeste </t>
  </si>
  <si>
    <t>UPUs em áreas marinhas nas regiões Nordeste, Sudeste e Sul</t>
  </si>
  <si>
    <t>Refinarias, UPGNs e 
terminais de GNL</t>
  </si>
  <si>
    <r>
      <t>2 refinarias</t>
    </r>
    <r>
      <rPr>
        <sz val="10"/>
        <rFont val="Cambria"/>
        <family val="1"/>
        <scheme val="major"/>
      </rPr>
      <t>, uma no Nordeste (BA) e uma no Sudeste (SP),</t>
    </r>
    <r>
      <rPr>
        <b/>
        <sz val="10"/>
        <color rgb="FF004C73"/>
        <rFont val="Cambria"/>
        <family val="1"/>
        <scheme val="major"/>
      </rPr>
      <t xml:space="preserve"> 2 ampliações de refinaria existente</t>
    </r>
    <r>
      <rPr>
        <sz val="10"/>
        <rFont val="Cambria"/>
        <family val="1"/>
        <scheme val="major"/>
      </rPr>
      <t>, no Nordeste (BA) e Sudeste (RJ),</t>
    </r>
    <r>
      <rPr>
        <b/>
        <sz val="10"/>
        <color rgb="FF004C73"/>
        <rFont val="Cambria"/>
        <family val="1"/>
        <scheme val="major"/>
      </rPr>
      <t xml:space="preserve"> e 3 unidades de hidrotratamento em refinarias existentes</t>
    </r>
    <r>
      <rPr>
        <sz val="10"/>
        <rFont val="Cambria"/>
        <family val="1"/>
        <scheme val="major"/>
      </rPr>
      <t xml:space="preserve">, no Sudeste (RJ e SP) </t>
    </r>
  </si>
  <si>
    <r>
      <t>2 UPGNs</t>
    </r>
    <r>
      <rPr>
        <sz val="10"/>
        <rFont val="Cambria"/>
        <family val="1"/>
        <scheme val="major"/>
      </rPr>
      <t>, 1 prevista no Sudeste (RJ) e 1 UPGN indicativa no Nordeste (SE)</t>
    </r>
  </si>
  <si>
    <r>
      <t>4 terminais de regaseificação de GNL:</t>
    </r>
    <r>
      <rPr>
        <sz val="10"/>
        <rFont val="Cambria"/>
        <family val="1"/>
        <scheme val="major"/>
      </rPr>
      <t xml:space="preserve"> 1 previsto no Norte (PA) e 3 indicativos no Sul, Sudeste e Nordeste (SC, SP e PE)</t>
    </r>
  </si>
  <si>
    <t>Gasodutos</t>
  </si>
  <si>
    <r>
      <t xml:space="preserve">2 gasodutos de transporte: </t>
    </r>
    <r>
      <rPr>
        <sz val="10"/>
        <rFont val="Cambria"/>
        <family val="1"/>
        <scheme val="major"/>
      </rPr>
      <t>1 previsto, no Sudeste (RJ) e 1 indicativo no Nordeste (CE)</t>
    </r>
  </si>
  <si>
    <t>3 gasodutos de escoamento: 1 previsto, no Sudeste, e 2 indicativos, no Sudeste e no Nordeste</t>
  </si>
  <si>
    <t>Etanol</t>
  </si>
  <si>
    <t xml:space="preserve">          13,7  bilhões de litros</t>
  </si>
  <si>
    <t>18 usinas planejadas: 8 de milho, 4 de cana-de-açúcar, 2 flex (cana e milho) e 4 de outras matérias-primas (soja e cereais), maioria na região Centro-Oeste; 57 usinas ampliadas em todas as regiões do país, maioria no Sudeste; e 24 usinas indicativas</t>
  </si>
  <si>
    <t>Biodiesel</t>
  </si>
  <si>
    <t xml:space="preserve">          5,5 bilhões de litros</t>
  </si>
  <si>
    <t>13 usinas planejadas (CO, N, S e SE) e 3 usinas ampliadas (S, SE e CO)</t>
  </si>
  <si>
    <t>Autoprodução e geração distribuída</t>
  </si>
  <si>
    <r>
      <t xml:space="preserve">Autoprodução: 4.711 MW </t>
    </r>
    <r>
      <rPr>
        <sz val="10"/>
        <color rgb="FF000000"/>
        <rFont val="Cambria"/>
        <family val="1"/>
        <scheme val="major"/>
      </rPr>
      <t>(Termelétrica: 4.471 MW; Hidrelétrica: 234 MW; Solar 5,2 MW; Eólica: 0,6 MW)</t>
    </r>
  </si>
  <si>
    <r>
      <t>Geração Distribuída: 29.205 MW</t>
    </r>
    <r>
      <rPr>
        <sz val="10"/>
        <color rgb="FF000000"/>
        <rFont val="Cambria"/>
        <family val="1"/>
        <scheme val="major"/>
      </rPr>
      <t xml:space="preserve"> (Fotovoltaica: 26.172 MW; Termelétrica: 2.607 MW; Eólica: 300 MW; CGH: 126 MW)</t>
    </r>
  </si>
  <si>
    <r>
      <t>Tabela 11‑9 – Elenco dos Projetos Hidrelétricos Disponibilizados ao PDE 2031</t>
    </r>
    <r>
      <rPr>
        <sz val="8"/>
        <color rgb="FF000000"/>
        <rFont val="Cambria"/>
        <family val="1"/>
        <scheme val="major"/>
      </rPr>
      <t> </t>
    </r>
  </si>
  <si>
    <t>Data Mais Cedo Entrada Operação</t>
  </si>
  <si>
    <t>UHE</t>
  </si>
  <si>
    <t>Potência (MW)</t>
  </si>
  <si>
    <t>Bacia</t>
  </si>
  <si>
    <t>Rio</t>
  </si>
  <si>
    <t>UF</t>
  </si>
  <si>
    <t>Davinópolis</t>
  </si>
  <si>
    <t>Paranaíba</t>
  </si>
  <si>
    <t>MG/GO</t>
  </si>
  <si>
    <t>Apertados</t>
  </si>
  <si>
    <t>Piquiri</t>
  </si>
  <si>
    <t>PR</t>
  </si>
  <si>
    <t>Castanheira</t>
  </si>
  <si>
    <t>Juruena</t>
  </si>
  <si>
    <t>Arinos</t>
  </si>
  <si>
    <t>MT</t>
  </si>
  <si>
    <t xml:space="preserve">Ercilândia </t>
  </si>
  <si>
    <t>Comissário</t>
  </si>
  <si>
    <t>Tabajara</t>
  </si>
  <si>
    <t>Ji-Paraná</t>
  </si>
  <si>
    <t>RO</t>
  </si>
  <si>
    <t>Telêmaco Borba</t>
  </si>
  <si>
    <t>Tibagi</t>
  </si>
  <si>
    <t>Após 2030</t>
  </si>
  <si>
    <t>Bem Querer</t>
  </si>
  <si>
    <t>Branco</t>
  </si>
  <si>
    <t>RR</t>
  </si>
  <si>
    <t>Formoso</t>
  </si>
  <si>
    <t>São Francisco</t>
  </si>
  <si>
    <t>MG</t>
  </si>
  <si>
    <t>Buriti Queimado</t>
  </si>
  <si>
    <t>Tocantins</t>
  </si>
  <si>
    <t>Almas</t>
  </si>
  <si>
    <t>GO</t>
  </si>
  <si>
    <t>Foz do Piquiri</t>
  </si>
  <si>
    <t>Foz do Xaxim</t>
  </si>
  <si>
    <t>Uruguai</t>
  </si>
  <si>
    <t>Chapecó</t>
  </si>
  <si>
    <t>SC</t>
  </si>
  <si>
    <t>Itaguaçu</t>
  </si>
  <si>
    <t>Claro</t>
  </si>
  <si>
    <t>Itapiranga</t>
  </si>
  <si>
    <t>SC/RS</t>
  </si>
  <si>
    <t>Jatobá</t>
  </si>
  <si>
    <t>Tapajós</t>
  </si>
  <si>
    <t>PA</t>
  </si>
  <si>
    <t>Maranhão</t>
  </si>
  <si>
    <t>Mirador</t>
  </si>
  <si>
    <t>Tocantizinho</t>
  </si>
  <si>
    <t>Paranã</t>
  </si>
  <si>
    <t>TO</t>
  </si>
  <si>
    <t>Porteiras</t>
  </si>
  <si>
    <t>Porto Galeano</t>
  </si>
  <si>
    <t>Sucuriú</t>
  </si>
  <si>
    <t>MS</t>
  </si>
  <si>
    <t>Santo Antônio</t>
  </si>
  <si>
    <t>Saudade</t>
  </si>
  <si>
    <t>Tabela 11‑10 – Síntese dos Resultados</t>
  </si>
  <si>
    <r>
      <t>PIB</t>
    </r>
    <r>
      <rPr>
        <vertAlign val="superscript"/>
        <sz val="10"/>
        <color indexed="8"/>
        <rFont val="Cambria"/>
        <family val="1"/>
        <scheme val="major"/>
      </rPr>
      <t xml:space="preserve"> (1)</t>
    </r>
    <r>
      <rPr>
        <sz val="10"/>
        <color indexed="8"/>
        <rFont val="Cambria"/>
        <family val="1"/>
        <scheme val="major"/>
      </rPr>
      <t>     (10</t>
    </r>
    <r>
      <rPr>
        <vertAlign val="superscript"/>
        <sz val="10"/>
        <color indexed="8"/>
        <rFont val="Cambria"/>
        <family val="1"/>
        <scheme val="major"/>
      </rPr>
      <t>9</t>
    </r>
    <r>
      <rPr>
        <sz val="10"/>
        <color indexed="8"/>
        <rFont val="Cambria"/>
        <family val="1"/>
        <scheme val="major"/>
      </rPr>
      <t xml:space="preserve"> R$ [2010])</t>
    </r>
  </si>
  <si>
    <r>
      <t>População</t>
    </r>
    <r>
      <rPr>
        <vertAlign val="superscript"/>
        <sz val="10"/>
        <color indexed="8"/>
        <rFont val="Cambria"/>
        <family val="1"/>
        <scheme val="major"/>
      </rPr>
      <t xml:space="preserve"> (2)</t>
    </r>
    <r>
      <rPr>
        <sz val="10"/>
        <color indexed="8"/>
        <rFont val="Cambria"/>
        <family val="1"/>
        <scheme val="major"/>
      </rPr>
      <t>    (10</t>
    </r>
    <r>
      <rPr>
        <vertAlign val="superscript"/>
        <sz val="10"/>
        <color indexed="8"/>
        <rFont val="Cambria"/>
        <family val="1"/>
        <scheme val="major"/>
      </rPr>
      <t>6</t>
    </r>
    <r>
      <rPr>
        <sz val="10"/>
        <color indexed="8"/>
        <rFont val="Cambria"/>
        <family val="1"/>
        <scheme val="major"/>
      </rPr>
      <t xml:space="preserve"> hab)</t>
    </r>
  </si>
  <si>
    <t>PIB per capita (10³ R$ [2010]/hab)</t>
  </si>
  <si>
    <r>
      <t>Oferta Interna de Eletricidade por PIB (kWh/10</t>
    </r>
    <r>
      <rPr>
        <vertAlign val="superscript"/>
        <sz val="10"/>
        <color indexed="8"/>
        <rFont val="Cambria"/>
        <family val="1"/>
        <scheme val="major"/>
      </rPr>
      <t>3</t>
    </r>
    <r>
      <rPr>
        <sz val="10"/>
        <color indexed="8"/>
        <rFont val="Cambria"/>
        <family val="1"/>
        <scheme val="major"/>
      </rPr>
      <t xml:space="preserve"> R$ [2010])</t>
    </r>
  </si>
  <si>
    <r>
      <t>Intensidade Energética da Economia (tep/10</t>
    </r>
    <r>
      <rPr>
        <vertAlign val="superscript"/>
        <sz val="10"/>
        <color indexed="8"/>
        <rFont val="Cambria"/>
        <family val="1"/>
        <scheme val="major"/>
      </rPr>
      <t>6</t>
    </r>
    <r>
      <rPr>
        <sz val="10"/>
        <color indexed="8"/>
        <rFont val="Cambria"/>
        <family val="1"/>
        <scheme val="major"/>
      </rPr>
      <t xml:space="preserve"> R$ [2010])</t>
    </r>
  </si>
  <si>
    <t>Elasticidade-renda do consumo de energia</t>
  </si>
  <si>
    <r>
      <t>Consumo Final</t>
    </r>
    <r>
      <rPr>
        <vertAlign val="superscript"/>
        <sz val="10"/>
        <color indexed="8"/>
        <rFont val="Cambria"/>
        <family val="1"/>
        <scheme val="major"/>
      </rPr>
      <t xml:space="preserve"> (</t>
    </r>
    <r>
      <rPr>
        <sz val="10"/>
        <color indexed="8"/>
        <rFont val="Cambria"/>
        <family val="1"/>
        <scheme val="major"/>
      </rPr>
      <t>³</t>
    </r>
    <r>
      <rPr>
        <vertAlign val="superscript"/>
        <sz val="10"/>
        <color indexed="8"/>
        <rFont val="Cambria"/>
        <family val="1"/>
        <scheme val="major"/>
      </rPr>
      <t>)</t>
    </r>
    <r>
      <rPr>
        <sz val="10"/>
        <color indexed="8"/>
        <rFont val="Cambria"/>
        <family val="1"/>
        <scheme val="major"/>
      </rPr>
      <t xml:space="preserve"> </t>
    </r>
    <r>
      <rPr>
        <b/>
        <sz val="10"/>
        <color indexed="8"/>
        <rFont val="Cambria"/>
        <family val="1"/>
        <scheme val="major"/>
      </rPr>
      <t>  </t>
    </r>
    <r>
      <rPr>
        <sz val="10"/>
        <color indexed="8"/>
        <rFont val="Cambria"/>
        <family val="1"/>
        <scheme val="major"/>
      </rPr>
      <t>(10</t>
    </r>
    <r>
      <rPr>
        <vertAlign val="superscript"/>
        <sz val="10"/>
        <color indexed="8"/>
        <rFont val="Cambria"/>
        <family val="1"/>
        <scheme val="major"/>
      </rPr>
      <t>6</t>
    </r>
    <r>
      <rPr>
        <sz val="10"/>
        <color indexed="8"/>
        <rFont val="Cambria"/>
        <family val="1"/>
        <scheme val="major"/>
      </rPr>
      <t xml:space="preserve"> tep)</t>
    </r>
  </si>
  <si>
    <r>
      <t> Gás Natural (10</t>
    </r>
    <r>
      <rPr>
        <i/>
        <vertAlign val="superscript"/>
        <sz val="10"/>
        <color indexed="8"/>
        <rFont val="Cambria"/>
        <family val="1"/>
        <scheme val="major"/>
      </rPr>
      <t>6</t>
    </r>
    <r>
      <rPr>
        <i/>
        <sz val="10"/>
        <color indexed="8"/>
        <rFont val="Cambria"/>
        <family val="1"/>
        <scheme val="major"/>
      </rPr>
      <t xml:space="preserve"> m³/dia)</t>
    </r>
  </si>
  <si>
    <r>
      <t> Carvão Mineral e Coque (10</t>
    </r>
    <r>
      <rPr>
        <i/>
        <vertAlign val="superscript"/>
        <sz val="10"/>
        <color indexed="8"/>
        <rFont val="Cambria"/>
        <family val="1"/>
        <scheme val="major"/>
      </rPr>
      <t>6</t>
    </r>
    <r>
      <rPr>
        <i/>
        <sz val="10"/>
        <color indexed="8"/>
        <rFont val="Cambria"/>
        <family val="1"/>
        <scheme val="major"/>
      </rPr>
      <t xml:space="preserve"> t)</t>
    </r>
  </si>
  <si>
    <r>
      <t> Lenha e Carvão Vegetal (10</t>
    </r>
    <r>
      <rPr>
        <i/>
        <vertAlign val="superscript"/>
        <sz val="10"/>
        <color indexed="8"/>
        <rFont val="Cambria"/>
        <family val="1"/>
        <scheme val="major"/>
      </rPr>
      <t>6</t>
    </r>
    <r>
      <rPr>
        <i/>
        <sz val="10"/>
        <color indexed="8"/>
        <rFont val="Cambria"/>
        <family val="1"/>
        <scheme val="major"/>
      </rPr>
      <t xml:space="preserve"> t)</t>
    </r>
  </si>
  <si>
    <r>
      <t> Bagaço de Cana (10</t>
    </r>
    <r>
      <rPr>
        <i/>
        <vertAlign val="superscript"/>
        <sz val="10"/>
        <color indexed="8"/>
        <rFont val="Cambria"/>
        <family val="1"/>
        <scheme val="major"/>
      </rPr>
      <t>6</t>
    </r>
    <r>
      <rPr>
        <i/>
        <sz val="10"/>
        <color indexed="8"/>
        <rFont val="Cambria"/>
        <family val="1"/>
        <scheme val="major"/>
      </rPr>
      <t xml:space="preserve"> t)</t>
    </r>
  </si>
  <si>
    <r>
      <t> Etanol (10</t>
    </r>
    <r>
      <rPr>
        <i/>
        <vertAlign val="superscript"/>
        <sz val="10"/>
        <color indexed="8"/>
        <rFont val="Cambria"/>
        <family val="1"/>
        <scheme val="major"/>
      </rPr>
      <t>6</t>
    </r>
    <r>
      <rPr>
        <i/>
        <sz val="10"/>
        <color indexed="8"/>
        <rFont val="Cambria"/>
        <family val="1"/>
        <scheme val="major"/>
      </rPr>
      <t xml:space="preserve"> m³)</t>
    </r>
  </si>
  <si>
    <r>
      <t> Biodiesel (10</t>
    </r>
    <r>
      <rPr>
        <i/>
        <vertAlign val="superscript"/>
        <sz val="10"/>
        <color indexed="8"/>
        <rFont val="Cambria"/>
        <family val="1"/>
        <scheme val="major"/>
      </rPr>
      <t>6</t>
    </r>
    <r>
      <rPr>
        <i/>
        <sz val="10"/>
        <color indexed="8"/>
        <rFont val="Cambria"/>
        <family val="1"/>
        <scheme val="major"/>
      </rPr>
      <t xml:space="preserve"> m³)</t>
    </r>
  </si>
  <si>
    <r>
      <t>Derivados de Petróleo (10</t>
    </r>
    <r>
      <rPr>
        <i/>
        <vertAlign val="superscript"/>
        <sz val="10"/>
        <color indexed="8"/>
        <rFont val="Cambria"/>
        <family val="1"/>
        <scheme val="major"/>
      </rPr>
      <t>6</t>
    </r>
    <r>
      <rPr>
        <i/>
        <sz val="10"/>
        <color indexed="8"/>
        <rFont val="Cambria"/>
        <family val="1"/>
        <scheme val="major"/>
      </rPr>
      <t xml:space="preserve"> m³)</t>
    </r>
  </si>
  <si>
    <r>
      <t> Óleo Diesel A (10</t>
    </r>
    <r>
      <rPr>
        <i/>
        <vertAlign val="superscript"/>
        <sz val="10"/>
        <color indexed="8"/>
        <rFont val="Cambria"/>
        <family val="1"/>
        <scheme val="major"/>
      </rPr>
      <t>6</t>
    </r>
    <r>
      <rPr>
        <i/>
        <sz val="10"/>
        <color indexed="8"/>
        <rFont val="Cambria"/>
        <family val="1"/>
        <scheme val="major"/>
      </rPr>
      <t xml:space="preserve"> m³)</t>
    </r>
  </si>
  <si>
    <r>
      <t> Óleo Combustível (10</t>
    </r>
    <r>
      <rPr>
        <i/>
        <vertAlign val="superscript"/>
        <sz val="10"/>
        <color indexed="8"/>
        <rFont val="Cambria"/>
        <family val="1"/>
        <scheme val="major"/>
      </rPr>
      <t>6</t>
    </r>
    <r>
      <rPr>
        <i/>
        <sz val="10"/>
        <color indexed="8"/>
        <rFont val="Cambria"/>
        <family val="1"/>
        <scheme val="major"/>
      </rPr>
      <t xml:space="preserve"> m³)</t>
    </r>
  </si>
  <si>
    <r>
      <t> Gasolina (10</t>
    </r>
    <r>
      <rPr>
        <i/>
        <vertAlign val="superscript"/>
        <sz val="10"/>
        <color indexed="8"/>
        <rFont val="Cambria"/>
        <family val="1"/>
        <scheme val="major"/>
      </rPr>
      <t>6</t>
    </r>
    <r>
      <rPr>
        <i/>
        <sz val="10"/>
        <color indexed="8"/>
        <rFont val="Cambria"/>
        <family val="1"/>
        <scheme val="major"/>
      </rPr>
      <t xml:space="preserve"> m³)</t>
    </r>
  </si>
  <si>
    <r>
      <t> GLP (10</t>
    </r>
    <r>
      <rPr>
        <i/>
        <vertAlign val="superscript"/>
        <sz val="10"/>
        <color indexed="8"/>
        <rFont val="Cambria"/>
        <family val="1"/>
        <scheme val="major"/>
      </rPr>
      <t>6</t>
    </r>
    <r>
      <rPr>
        <i/>
        <sz val="10"/>
        <color indexed="8"/>
        <rFont val="Cambria"/>
        <family val="1"/>
        <scheme val="major"/>
      </rPr>
      <t xml:space="preserve"> m³)</t>
    </r>
  </si>
  <si>
    <r>
      <t> Querosene (10</t>
    </r>
    <r>
      <rPr>
        <i/>
        <vertAlign val="superscript"/>
        <sz val="10"/>
        <color indexed="8"/>
        <rFont val="Cambria"/>
        <family val="1"/>
        <scheme val="major"/>
      </rPr>
      <t>6</t>
    </r>
    <r>
      <rPr>
        <i/>
        <sz val="10"/>
        <color indexed="8"/>
        <rFont val="Cambria"/>
        <family val="1"/>
        <scheme val="major"/>
      </rPr>
      <t xml:space="preserve"> m³)</t>
    </r>
  </si>
  <si>
    <r>
      <t xml:space="preserve">Oferta Interna de Energia </t>
    </r>
    <r>
      <rPr>
        <sz val="10"/>
        <color indexed="8"/>
        <rFont val="Cambria"/>
        <family val="1"/>
        <scheme val="major"/>
      </rPr>
      <t>(4)</t>
    </r>
    <r>
      <rPr>
        <b/>
        <sz val="10"/>
        <color indexed="8"/>
        <rFont val="Cambria"/>
        <family val="1"/>
        <scheme val="major"/>
      </rPr>
      <t xml:space="preserve"> </t>
    </r>
    <r>
      <rPr>
        <sz val="10"/>
        <color indexed="8"/>
        <rFont val="Cambria"/>
        <family val="1"/>
        <scheme val="major"/>
      </rPr>
      <t>(10</t>
    </r>
    <r>
      <rPr>
        <vertAlign val="superscript"/>
        <sz val="10"/>
        <color indexed="8"/>
        <rFont val="Cambria"/>
        <family val="1"/>
        <scheme val="major"/>
      </rPr>
      <t>6</t>
    </r>
    <r>
      <rPr>
        <sz val="10"/>
        <color indexed="8"/>
        <rFont val="Cambria"/>
        <family val="1"/>
        <scheme val="major"/>
      </rPr>
      <t xml:space="preserve"> tep)</t>
    </r>
  </si>
  <si>
    <r>
      <t>Gás Natural (10</t>
    </r>
    <r>
      <rPr>
        <i/>
        <vertAlign val="superscript"/>
        <sz val="10"/>
        <color indexed="8"/>
        <rFont val="Cambria"/>
        <family val="1"/>
        <scheme val="major"/>
      </rPr>
      <t>6</t>
    </r>
    <r>
      <rPr>
        <i/>
        <sz val="10"/>
        <color indexed="8"/>
        <rFont val="Cambria"/>
        <family val="1"/>
        <scheme val="major"/>
      </rPr>
      <t xml:space="preserve"> m³/dia)</t>
    </r>
  </si>
  <si>
    <r>
      <t xml:space="preserve">Produção </t>
    </r>
    <r>
      <rPr>
        <vertAlign val="superscript"/>
        <sz val="10"/>
        <color indexed="8"/>
        <rFont val="Cambria"/>
        <family val="1"/>
        <scheme val="major"/>
      </rPr>
      <t>(5)</t>
    </r>
  </si>
  <si>
    <r>
      <t>Óleo Diesel (10</t>
    </r>
    <r>
      <rPr>
        <i/>
        <vertAlign val="superscript"/>
        <sz val="10"/>
        <color indexed="8"/>
        <rFont val="Cambria"/>
        <family val="1"/>
        <scheme val="major"/>
      </rPr>
      <t>6</t>
    </r>
    <r>
      <rPr>
        <i/>
        <sz val="10"/>
        <color indexed="8"/>
        <rFont val="Cambria"/>
        <family val="1"/>
        <scheme val="major"/>
      </rPr>
      <t xml:space="preserve"> m³)</t>
    </r>
  </si>
  <si>
    <r>
      <t>Óleo Combustível (10</t>
    </r>
    <r>
      <rPr>
        <i/>
        <vertAlign val="superscript"/>
        <sz val="10"/>
        <color indexed="8"/>
        <rFont val="Cambria"/>
        <family val="1"/>
        <scheme val="major"/>
      </rPr>
      <t>6</t>
    </r>
    <r>
      <rPr>
        <i/>
        <sz val="10"/>
        <color indexed="8"/>
        <rFont val="Cambria"/>
        <family val="1"/>
        <scheme val="major"/>
      </rPr>
      <t xml:space="preserve"> m³)</t>
    </r>
  </si>
  <si>
    <r>
      <t>Gasolina (10</t>
    </r>
    <r>
      <rPr>
        <i/>
        <vertAlign val="superscript"/>
        <sz val="10"/>
        <color indexed="8"/>
        <rFont val="Cambria"/>
        <family val="1"/>
        <scheme val="major"/>
      </rPr>
      <t>6</t>
    </r>
    <r>
      <rPr>
        <i/>
        <sz val="10"/>
        <color indexed="8"/>
        <rFont val="Cambria"/>
        <family val="1"/>
        <scheme val="major"/>
      </rPr>
      <t xml:space="preserve"> m³)</t>
    </r>
  </si>
  <si>
    <r>
      <t>GLP (10</t>
    </r>
    <r>
      <rPr>
        <i/>
        <vertAlign val="superscript"/>
        <sz val="10"/>
        <color indexed="8"/>
        <rFont val="Cambria"/>
        <family val="1"/>
        <scheme val="major"/>
      </rPr>
      <t>6</t>
    </r>
    <r>
      <rPr>
        <i/>
        <sz val="10"/>
        <color indexed="8"/>
        <rFont val="Cambria"/>
        <family val="1"/>
        <scheme val="major"/>
      </rPr>
      <t xml:space="preserve"> m³)</t>
    </r>
  </si>
  <si>
    <r>
      <t>Querosene (10</t>
    </r>
    <r>
      <rPr>
        <i/>
        <vertAlign val="superscript"/>
        <sz val="10"/>
        <color indexed="8"/>
        <rFont val="Cambria"/>
        <family val="1"/>
        <scheme val="major"/>
      </rPr>
      <t>6</t>
    </r>
    <r>
      <rPr>
        <i/>
        <sz val="10"/>
        <color indexed="8"/>
        <rFont val="Cambria"/>
        <family val="1"/>
        <scheme val="major"/>
      </rPr>
      <t xml:space="preserve"> m³)</t>
    </r>
  </si>
  <si>
    <r>
      <t>Etanol (10</t>
    </r>
    <r>
      <rPr>
        <i/>
        <vertAlign val="superscript"/>
        <sz val="10"/>
        <color indexed="8"/>
        <rFont val="Cambria"/>
        <family val="1"/>
        <scheme val="major"/>
      </rPr>
      <t>6</t>
    </r>
    <r>
      <rPr>
        <i/>
        <sz val="10"/>
        <color indexed="8"/>
        <rFont val="Cambria"/>
        <family val="1"/>
        <scheme val="major"/>
      </rPr>
      <t xml:space="preserve"> m³)</t>
    </r>
  </si>
  <si>
    <t>Exportação (6)</t>
  </si>
  <si>
    <r>
      <t xml:space="preserve">Capacidade Instalada de Geração Elétrica </t>
    </r>
    <r>
      <rPr>
        <vertAlign val="superscript"/>
        <sz val="10"/>
        <color rgb="FF000000"/>
        <rFont val="Cambria"/>
        <family val="1"/>
        <scheme val="major"/>
      </rPr>
      <t>(6)</t>
    </r>
    <r>
      <rPr>
        <sz val="10"/>
        <color rgb="FF000000"/>
        <rFont val="Cambria"/>
        <family val="1"/>
        <scheme val="major"/>
      </rPr>
      <t>   (GW)</t>
    </r>
  </si>
  <si>
    <t>Centralizada</t>
  </si>
  <si>
    <r>
      <t xml:space="preserve">    Hidráulica </t>
    </r>
    <r>
      <rPr>
        <vertAlign val="superscript"/>
        <sz val="10"/>
        <color rgb="FF000000"/>
        <rFont val="Cambria"/>
        <family val="1"/>
        <scheme val="major"/>
      </rPr>
      <t>(7)</t>
    </r>
  </si>
  <si>
    <r>
      <t xml:space="preserve">   Térmica </t>
    </r>
    <r>
      <rPr>
        <vertAlign val="superscript"/>
        <sz val="10"/>
        <color rgb="FF000000"/>
        <rFont val="Cambria"/>
        <family val="1"/>
        <scheme val="major"/>
      </rPr>
      <t>(8)</t>
    </r>
  </si>
  <si>
    <t xml:space="preserve">         - Renovável</t>
  </si>
  <si>
    <t xml:space="preserve">         - Não-Renovável</t>
  </si>
  <si>
    <t xml:space="preserve">   Eólica</t>
  </si>
  <si>
    <t xml:space="preserve">   Solar</t>
  </si>
  <si>
    <t xml:space="preserve">   Nuclear</t>
  </si>
  <si>
    <t>Autoprodução e GD</t>
  </si>
  <si>
    <r>
      <t xml:space="preserve">    Renováveis </t>
    </r>
    <r>
      <rPr>
        <vertAlign val="superscript"/>
        <sz val="10"/>
        <color rgb="FF000000"/>
        <rFont val="Cambria"/>
        <family val="1"/>
        <scheme val="major"/>
      </rPr>
      <t>(9)</t>
    </r>
  </si>
  <si>
    <t xml:space="preserve">   Não-Renováveis</t>
  </si>
  <si>
    <r>
      <t xml:space="preserve">Transmissão de Energia Elétrica  </t>
    </r>
    <r>
      <rPr>
        <vertAlign val="superscript"/>
        <sz val="10"/>
        <color rgb="FF000000"/>
        <rFont val="Cambria"/>
        <family val="1"/>
        <scheme val="major"/>
      </rPr>
      <t>(10)</t>
    </r>
  </si>
  <si>
    <t>162.7</t>
  </si>
  <si>
    <t>188.98</t>
  </si>
  <si>
    <t>26.28</t>
  </si>
  <si>
    <r>
      <t xml:space="preserve">Transporte de Gás Natural (km  gasodutos) </t>
    </r>
    <r>
      <rPr>
        <vertAlign val="superscript"/>
        <sz val="10"/>
        <color rgb="FF000000"/>
        <rFont val="Cambria"/>
        <family val="1"/>
        <scheme val="major"/>
      </rPr>
      <t>(11)</t>
    </r>
  </si>
  <si>
    <t> Atualizar com os novos dados para o PDE 2031</t>
  </si>
  <si>
    <t>(1) Estimativa do IBGE para a população residente em 1º de julho de cada ano.</t>
  </si>
  <si>
    <t>(2) Consumo final nos setores industrial, agropecuário, transportes, residencial, comercial, público. Também inclui consumo no setor energético (E&amp;P, refinarias e movimentação do sistema) e consumo como matéria-prima. Não inclui o consumo para geração de eletricidade e conumo para bunker.</t>
  </si>
  <si>
    <t>(3) Valores de importação e exportação têm sinal positivo e negativo, respectivamente.</t>
  </si>
  <si>
    <t>(4) Produção esperada, estimada com base na disponibilidade projetada de gás natural para UPGNs.</t>
  </si>
  <si>
    <t>(5) Variação anual média calculada de 2022 a 2031, que equivale ao período estimado com exportações de etanol.</t>
  </si>
  <si>
    <t xml:space="preserve">(6) Inclui as usinas já em operação comercial nos sistemas isolados, com previsão de interligação dentro do horizonte do estudo e considerando a motorização das usinas. </t>
  </si>
  <si>
    <t xml:space="preserve">(7) Não inclui a importação da geração da UHE Itaipu. </t>
  </si>
  <si>
    <t>(8) Contempla a geração a gás natural, carvão mineral, óleos combustível e diesel e gás industrial. Não inclui energia nuclear.</t>
  </si>
  <si>
    <t>(9) Não inclusa a parcela correspondente ao SIN.</t>
  </si>
  <si>
    <t xml:space="preserve">(10) Os valores se referem a instalações da Rede Básica do SIN, incluindo subestações de fronteira com a rede de distribuição. </t>
  </si>
  <si>
    <t>(11) Não inclui gasodutos de transporte em fase de planejamento que ainda não foram propostos pelo MME.</t>
  </si>
  <si>
    <t>Tabela 11‑11 – Síntese das estimativas de investimentos</t>
  </si>
  <si>
    <t>Período 2021-2031</t>
  </si>
  <si>
    <r>
      <t xml:space="preserve">       Geração Centralizada </t>
    </r>
    <r>
      <rPr>
        <vertAlign val="superscript"/>
        <sz val="9"/>
        <color rgb="FF000000"/>
        <rFont val="Cambria"/>
        <family val="1"/>
        <scheme val="major"/>
      </rPr>
      <t>(1)</t>
    </r>
  </si>
  <si>
    <t xml:space="preserve">       Geração Distribuída (Micro e Minigeração)</t>
  </si>
  <si>
    <r>
      <t xml:space="preserve">       Transmissão </t>
    </r>
    <r>
      <rPr>
        <vertAlign val="superscript"/>
        <sz val="9"/>
        <color rgb="FF000000"/>
        <rFont val="Cambria"/>
        <family val="1"/>
        <scheme val="major"/>
      </rPr>
      <t>(2)</t>
    </r>
  </si>
  <si>
    <t xml:space="preserve">       Exploração e Produção de Petróleo e Gás Natural </t>
  </si>
  <si>
    <t xml:space="preserve">       Oferta de Derivados de Petróleo </t>
  </si>
  <si>
    <t xml:space="preserve">       Oferta de Gás Natural </t>
  </si>
  <si>
    <r>
      <t xml:space="preserve">       Etanol</t>
    </r>
    <r>
      <rPr>
        <vertAlign val="superscript"/>
        <sz val="9"/>
        <color rgb="FF000000"/>
        <rFont val="Cambria"/>
        <family val="1"/>
        <scheme val="major"/>
      </rPr>
      <t>(4)</t>
    </r>
    <r>
      <rPr>
        <sz val="9"/>
        <color rgb="FF000000"/>
        <rFont val="Cambria"/>
        <family val="1"/>
        <scheme val="major"/>
      </rPr>
      <t xml:space="preserve"> –  Unidades de produção e Infraestrutura dutoviária</t>
    </r>
  </si>
  <si>
    <t xml:space="preserve">       Biodiesel/BioQAV – Usinas de produção</t>
  </si>
  <si>
    <t>Tabela 11‑12 – Projeção da Matriz Energética Nacional – Ano 2031</t>
  </si>
  <si>
    <t>FONTES DE ENERGIA PRIMÁRIA</t>
  </si>
  <si>
    <t>FONTES DE ENERGIA SECUNDÁRIA</t>
  </si>
  <si>
    <t>Consolidado 2031 - 10³ tep</t>
  </si>
  <si>
    <t xml:space="preserve"> PETRÓLEO </t>
  </si>
  <si>
    <t>GÁS NATURAL</t>
  </si>
  <si>
    <t>CARVÃO VAPOR</t>
  </si>
  <si>
    <t>CARVÃO METALÚRGICO</t>
  </si>
  <si>
    <t>URÂNIO U3O8</t>
  </si>
  <si>
    <t>ENERGIA HIDRÁULICA</t>
  </si>
  <si>
    <t>LENHA</t>
  </si>
  <si>
    <t>PRODUTOS DA CANA</t>
  </si>
  <si>
    <t>OUTRAS FONTES PRIMÁRIAS</t>
  </si>
  <si>
    <t>ENERGIA PRIMÁRIA TOTAL</t>
  </si>
  <si>
    <t xml:space="preserve"> ÓLEO DIESEL </t>
  </si>
  <si>
    <t xml:space="preserve"> ÓLEO COMBUSTIVEL </t>
  </si>
  <si>
    <t xml:space="preserve"> GASOLINA </t>
  </si>
  <si>
    <t xml:space="preserve"> GLP </t>
  </si>
  <si>
    <t xml:space="preserve"> NAFTA </t>
  </si>
  <si>
    <t xml:space="preserve"> QUEROSENE </t>
  </si>
  <si>
    <t>GÁS DE COQUERIA</t>
  </si>
  <si>
    <t>COQUE DE CARVÃO MINERAL</t>
  </si>
  <si>
    <t>URÂNIO CONTIDO NO UO2</t>
  </si>
  <si>
    <t>ELETRICIDADE</t>
  </si>
  <si>
    <t>CARVÃO VEGETAL</t>
  </si>
  <si>
    <t>ETANOL ANIDRO E HIDRATADO</t>
  </si>
  <si>
    <t xml:space="preserve"> OUTRAS SECUNDÁRIAS DE PETRÓLEO </t>
  </si>
  <si>
    <t xml:space="preserve"> PRODUTOS NÃO ENERGÉTICOS DE PETRÓLEO </t>
  </si>
  <si>
    <t>ALCATRÃO</t>
  </si>
  <si>
    <t>ENERGIA SECUNDÁRIA TOTAL</t>
  </si>
  <si>
    <t xml:space="preserve">    PRODUÇÃO  </t>
  </si>
  <si>
    <t xml:space="preserve">    IMPORTAÇÃO  </t>
  </si>
  <si>
    <t xml:space="preserve">    VARIAÇÃO DE ESTOQUES  </t>
  </si>
  <si>
    <t xml:space="preserve"> OFERTA TOTAL  </t>
  </si>
  <si>
    <t xml:space="preserve">    EXPORTAÇÃO  </t>
  </si>
  <si>
    <t xml:space="preserve">    NÃO-APROVEITADA  </t>
  </si>
  <si>
    <t xml:space="preserve">    REINJEÇÃO  </t>
  </si>
  <si>
    <t xml:space="preserve"> OFERTA INTERNA BRUTA  </t>
  </si>
  <si>
    <t xml:space="preserve"> TOTAL TRANSFORMAÇÃO  </t>
  </si>
  <si>
    <t xml:space="preserve">    REFINARIAS DE PETRÓLEO  </t>
  </si>
  <si>
    <t xml:space="preserve">    PLANTAS DE GAS NATURAL  </t>
  </si>
  <si>
    <t xml:space="preserve">    USINAS DE GASEIFICAÇÃO  </t>
  </si>
  <si>
    <t xml:space="preserve">    COQUERIAS</t>
  </si>
  <si>
    <t xml:space="preserve">    CICLO DO COMBUSTÍVEL NUCLEAR</t>
  </si>
  <si>
    <t xml:space="preserve">    CENTRAIS ELÉTRICAS DE SERVIÇO PÚBLICO</t>
  </si>
  <si>
    <t xml:space="preserve">    CENTRAIS ELÉTRICAS AUTOPRODUTORAS</t>
  </si>
  <si>
    <t xml:space="preserve">    CARVOARIAS</t>
  </si>
  <si>
    <t xml:space="preserve">    DESTILARIAS</t>
  </si>
  <si>
    <t xml:space="preserve">    OUTRAS TRANSFORMAÇÕES</t>
  </si>
  <si>
    <t xml:space="preserve"> PERDAS NA DISTRIBUIÇÃO E ARMAZENAGEM  </t>
  </si>
  <si>
    <t xml:space="preserve"> CONSUMO FINAL  </t>
  </si>
  <si>
    <t xml:space="preserve">  CONSUMO FINAL NÃO-ENERGÉTICO</t>
  </si>
  <si>
    <t xml:space="preserve">  CONSUMO FINAL ENERGÉTICO</t>
  </si>
  <si>
    <t xml:space="preserve">    SETOR ENERGÉTICO  </t>
  </si>
  <si>
    <t xml:space="preserve">    RESIDENCIAL  </t>
  </si>
  <si>
    <t xml:space="preserve">    COMERCIAL  </t>
  </si>
  <si>
    <t xml:space="preserve">    PÚBLICO</t>
  </si>
  <si>
    <t xml:space="preserve">    AGROPECUÁRIO  </t>
  </si>
  <si>
    <t xml:space="preserve">    TRANSPORTES</t>
  </si>
  <si>
    <t xml:space="preserve">    INDUSTRIAL</t>
  </si>
  <si>
    <t>AJUSTES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</si>
</sst>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0.0_);\(#,##0.0\)"/>
    <numFmt numFmtId="167" formatCode="#,##0.000_);\(#,##0.000\)"/>
    <numFmt numFmtId="168" formatCode="#,##0.0"/>
    <numFmt numFmtId="169" formatCode="0.0%"/>
    <numFmt numFmtId="170" formatCode="0.000"/>
    <numFmt numFmtId="171" formatCode="#,##0.000"/>
    <numFmt numFmtId="172" formatCode="#,##0_);\(#,##0\)"/>
    <numFmt numFmtId="173" formatCode="#,##0.00_);\(#,##0.00\)"/>
  </numFmts>
  <fonts count="97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10"/>
      <name val="Courier"/>
      <family val="3"/>
    </font>
    <font>
      <sz val="10"/>
      <name val="Tahoma"/>
      <family val="2"/>
    </font>
    <font>
      <b/>
      <sz val="10"/>
      <name val="Tahoma"/>
      <family val="2"/>
    </font>
    <font>
      <sz val="9"/>
      <color indexed="8"/>
      <name val="Tahoma"/>
      <family val="2"/>
    </font>
    <font>
      <sz val="10"/>
      <name val="Arial"/>
      <family val="2"/>
    </font>
    <font>
      <vertAlign val="superscript"/>
      <sz val="8"/>
      <color indexed="8"/>
      <name val="Tahoma"/>
      <family val="2"/>
    </font>
    <font>
      <sz val="8"/>
      <color indexed="8"/>
      <name val="Tahoma"/>
      <family val="2"/>
    </font>
    <font>
      <i/>
      <vertAlign val="superscript"/>
      <sz val="8"/>
      <color indexed="8"/>
      <name val="Tahoma"/>
      <family val="2"/>
    </font>
    <font>
      <b/>
      <sz val="9"/>
      <name val="Tahoma"/>
      <family val="2"/>
    </font>
    <font>
      <sz val="10"/>
      <color indexed="8"/>
      <name val="Arial"/>
      <family val="2"/>
    </font>
    <font>
      <b/>
      <sz val="8"/>
      <color indexed="8"/>
      <name val="Tahoma"/>
      <family val="2"/>
    </font>
    <font>
      <sz val="11"/>
      <color indexed="8"/>
      <name val="Calibri"/>
      <family val="2"/>
    </font>
    <font>
      <i/>
      <sz val="8"/>
      <color indexed="8"/>
      <name val="Tahoma"/>
      <family val="2"/>
    </font>
    <font>
      <sz val="7"/>
      <color indexed="8"/>
      <name val="Tahoma"/>
      <family val="2"/>
    </font>
    <font>
      <sz val="10"/>
      <color indexed="8"/>
      <name val="Calibri"/>
      <family val="2"/>
    </font>
    <font>
      <sz val="11"/>
      <color indexed="12"/>
      <name val="Book Antiqua"/>
      <family val="1"/>
    </font>
    <font>
      <sz val="10"/>
      <color indexed="8"/>
      <name val="Times New Roman"/>
      <family val="1"/>
    </font>
    <font>
      <sz val="6"/>
      <color indexed="8"/>
      <name val="Tahoma"/>
      <family val="2"/>
    </font>
    <font>
      <i/>
      <sz val="7"/>
      <color indexed="8"/>
      <name val="Tahoma"/>
      <family val="2"/>
    </font>
    <font>
      <b/>
      <sz val="16"/>
      <color rgb="FFFF0000"/>
      <name val="Arial"/>
      <family val="2"/>
    </font>
    <font>
      <b/>
      <sz val="10"/>
      <color theme="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0"/>
      <color theme="1"/>
      <name val="Arial Narrow"/>
      <family val="2"/>
    </font>
    <font>
      <b/>
      <sz val="8"/>
      <color indexed="8"/>
      <name val="Arial Narrow"/>
      <family val="2"/>
    </font>
    <font>
      <b/>
      <sz val="8"/>
      <color theme="1"/>
      <name val="Arial Narrow"/>
      <family val="2"/>
    </font>
    <font>
      <sz val="11"/>
      <color indexed="8"/>
      <name val="Arial Narrow"/>
      <family val="2"/>
    </font>
    <font>
      <sz val="8"/>
      <color indexed="8"/>
      <name val="Arial Narrow"/>
      <family val="2"/>
    </font>
    <font>
      <vertAlign val="superscript"/>
      <sz val="8"/>
      <color indexed="8"/>
      <name val="Arial Narrow"/>
      <family val="2"/>
    </font>
    <font>
      <i/>
      <sz val="8"/>
      <color indexed="8"/>
      <name val="Arial Narrow"/>
      <family val="2"/>
    </font>
    <font>
      <i/>
      <vertAlign val="superscript"/>
      <sz val="8"/>
      <color indexed="8"/>
      <name val="Arial Narrow"/>
      <family val="2"/>
    </font>
    <font>
      <i/>
      <vertAlign val="superscript"/>
      <sz val="7.5"/>
      <color indexed="8"/>
      <name val="Arial Narrow"/>
      <family val="2"/>
    </font>
    <font>
      <i/>
      <sz val="7.5"/>
      <color indexed="8"/>
      <name val="Arial Narrow"/>
      <family val="2"/>
    </font>
    <font>
      <sz val="10"/>
      <color theme="3"/>
      <name val="Tahoma"/>
      <family val="2"/>
    </font>
    <font>
      <sz val="9"/>
      <color theme="3"/>
      <name val="Tahoma"/>
      <family val="2"/>
    </font>
    <font>
      <sz val="8"/>
      <color theme="3"/>
      <name val="Tahoma"/>
      <family val="2"/>
    </font>
    <font>
      <i/>
      <sz val="8"/>
      <color rgb="FF000000"/>
      <name val="Arial Narrow"/>
      <family val="2"/>
    </font>
    <font>
      <b/>
      <sz val="16"/>
      <color theme="1"/>
      <name val="Arial"/>
      <family val="2"/>
    </font>
    <font>
      <sz val="10"/>
      <color rgb="FFFF0000"/>
      <name val="Arial"/>
      <family val="2"/>
    </font>
    <font>
      <b/>
      <sz val="11"/>
      <name val="Tahoma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2"/>
      <name val="Tahoma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8"/>
      <name val="Cambria"/>
      <family val="1"/>
      <scheme val="major"/>
    </font>
    <font>
      <b/>
      <sz val="10"/>
      <color theme="1"/>
      <name val="Cambria"/>
      <family val="1"/>
      <scheme val="major"/>
    </font>
    <font>
      <sz val="8"/>
      <color indexed="8"/>
      <name val="Cambria"/>
      <family val="1"/>
      <scheme val="major"/>
    </font>
    <font>
      <b/>
      <sz val="10"/>
      <color indexed="8"/>
      <name val="Cambria"/>
      <family val="1"/>
      <scheme val="major"/>
    </font>
    <font>
      <sz val="10"/>
      <color indexed="8"/>
      <name val="Cambria"/>
      <family val="1"/>
      <scheme val="major"/>
    </font>
    <font>
      <vertAlign val="superscript"/>
      <sz val="10"/>
      <color indexed="8"/>
      <name val="Cambria"/>
      <family val="1"/>
      <scheme val="major"/>
    </font>
    <font>
      <i/>
      <sz val="10"/>
      <color indexed="8"/>
      <name val="Cambria"/>
      <family val="1"/>
      <scheme val="major"/>
    </font>
    <font>
      <i/>
      <vertAlign val="superscript"/>
      <sz val="10"/>
      <color indexed="8"/>
      <name val="Cambria"/>
      <family val="1"/>
      <scheme val="major"/>
    </font>
    <font>
      <sz val="10"/>
      <color rgb="FF000000"/>
      <name val="Cambria"/>
      <family val="1"/>
      <scheme val="major"/>
    </font>
    <font>
      <vertAlign val="superscript"/>
      <sz val="10"/>
      <color rgb="FF000000"/>
      <name val="Cambria"/>
      <family val="1"/>
      <scheme val="major"/>
    </font>
    <font>
      <i/>
      <sz val="10"/>
      <color rgb="FF000000"/>
      <name val="Cambria"/>
      <family val="1"/>
      <scheme val="major"/>
    </font>
    <font>
      <sz val="8"/>
      <color rgb="FF000000"/>
      <name val="Cambria"/>
      <family val="1"/>
      <scheme val="major"/>
    </font>
    <font>
      <sz val="9"/>
      <color rgb="FF000000"/>
      <name val="Cambria"/>
      <family val="1"/>
      <scheme val="major"/>
    </font>
    <font>
      <sz val="9"/>
      <name val="Cambria"/>
      <family val="1"/>
      <scheme val="major"/>
    </font>
    <font>
      <sz val="9"/>
      <color theme="1"/>
      <name val="Cambria"/>
      <family val="1"/>
      <scheme val="major"/>
    </font>
    <font>
      <sz val="9"/>
      <color rgb="FFFF0000"/>
      <name val="Cambria"/>
      <family val="1"/>
      <scheme val="major"/>
    </font>
    <font>
      <b/>
      <sz val="9"/>
      <name val="Cambria"/>
      <family val="1"/>
      <scheme val="major"/>
    </font>
    <font>
      <b/>
      <sz val="9"/>
      <color rgb="FF000000"/>
      <name val="Cambria"/>
      <family val="1"/>
      <scheme val="major"/>
    </font>
    <font>
      <b/>
      <sz val="12"/>
      <name val="Cambria"/>
      <family val="1"/>
      <scheme val="major"/>
    </font>
    <font>
      <b/>
      <sz val="14"/>
      <name val="Cambria"/>
      <family val="1"/>
      <scheme val="major"/>
    </font>
    <font>
      <vertAlign val="superscript"/>
      <sz val="9"/>
      <color rgb="FF000000"/>
      <name val="Cambria"/>
      <family val="1"/>
      <scheme val="major"/>
    </font>
    <font>
      <b/>
      <sz val="9"/>
      <color indexed="8"/>
      <name val="Cambria"/>
      <family val="1"/>
      <scheme val="major"/>
    </font>
    <font>
      <sz val="9"/>
      <color indexed="8"/>
      <name val="Cambria"/>
      <family val="1"/>
      <scheme val="major"/>
    </font>
    <font>
      <vertAlign val="superscript"/>
      <sz val="9"/>
      <color indexed="8"/>
      <name val="Cambria"/>
      <family val="1"/>
      <scheme val="major"/>
    </font>
    <font>
      <b/>
      <sz val="14"/>
      <color indexed="8"/>
      <name val="Cambria"/>
      <family val="1"/>
      <scheme val="major"/>
    </font>
    <font>
      <vertAlign val="superscript"/>
      <sz val="10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0"/>
      <color rgb="FF000000"/>
      <name val="Cambria"/>
      <family val="1"/>
      <scheme val="major"/>
    </font>
    <font>
      <b/>
      <sz val="16"/>
      <color rgb="FFFF0000"/>
      <name val="Cambria"/>
      <family val="1"/>
      <scheme val="major"/>
    </font>
    <font>
      <b/>
      <sz val="10"/>
      <color rgb="FF004C73"/>
      <name val="Cambria"/>
      <family val="1"/>
      <scheme val="major"/>
    </font>
    <font>
      <sz val="10"/>
      <color rgb="FF004C73"/>
      <name val="Cambria"/>
      <family val="1"/>
      <scheme val="major"/>
    </font>
    <font>
      <i/>
      <sz val="10"/>
      <name val="Cambria"/>
      <family val="1"/>
      <scheme val="major"/>
    </font>
    <font>
      <sz val="10"/>
      <color rgb="FFFF0000"/>
      <name val="Cambria"/>
      <family val="1"/>
      <scheme val="major"/>
    </font>
    <font>
      <b/>
      <sz val="14"/>
      <color theme="1"/>
      <name val="Cambria"/>
      <family val="1"/>
      <scheme val="major"/>
    </font>
    <font>
      <u/>
      <sz val="10"/>
      <color theme="10"/>
      <name val="Arial"/>
      <family val="2"/>
    </font>
    <font>
      <sz val="14"/>
      <color theme="1"/>
      <name val="Cambria"/>
      <family val="1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00000"/>
        <bgColor indexed="64"/>
      </patternFill>
    </fill>
  </fills>
  <borders count="8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55"/>
      </bottom>
      <diagonal/>
    </border>
    <border>
      <left/>
      <right/>
      <top style="medium">
        <color indexed="55"/>
      </top>
      <bottom/>
      <diagonal/>
    </border>
    <border>
      <left/>
      <right/>
      <top style="medium">
        <color indexed="55"/>
      </top>
      <bottom style="medium">
        <color indexed="55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rgb="FFBFBFBF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A6A6A6"/>
      </bottom>
      <diagonal/>
    </border>
    <border>
      <left/>
      <right/>
      <top style="medium">
        <color rgb="FFBFBFBF"/>
      </top>
      <bottom/>
      <diagonal/>
    </border>
    <border>
      <left/>
      <right/>
      <top style="medium">
        <color rgb="FFBFBFBF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1"/>
      </bottom>
      <diagonal/>
    </border>
    <border>
      <left/>
      <right/>
      <top style="medium">
        <color indexed="64"/>
      </top>
      <bottom style="thin">
        <color theme="1"/>
      </bottom>
      <diagonal/>
    </border>
  </borders>
  <cellStyleXfs count="44">
    <xf numFmtId="0" fontId="0" fillId="0" borderId="0"/>
    <xf numFmtId="0" fontId="12" fillId="0" borderId="0"/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7" fillId="0" borderId="0" applyFont="0" applyFill="0" applyBorder="0" applyAlignment="0" applyProtection="0"/>
    <xf numFmtId="165" fontId="29" fillId="0" borderId="0"/>
    <xf numFmtId="164" fontId="12" fillId="0" borderId="0" applyFont="0" applyFill="0" applyBorder="0" applyAlignment="0" applyProtection="0"/>
    <xf numFmtId="0" fontId="30" fillId="0" borderId="0">
      <alignment vertical="center"/>
    </xf>
    <xf numFmtId="164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>
      <alignment vertical="center"/>
    </xf>
    <xf numFmtId="43" fontId="3" fillId="0" borderId="0" applyFont="0" applyFill="0" applyBorder="0" applyAlignment="0" applyProtection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164" fontId="12" fillId="0" borderId="0" applyFont="0" applyFill="0" applyBorder="0" applyAlignment="0" applyProtection="0"/>
    <xf numFmtId="0" fontId="12" fillId="0" borderId="0"/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1" fillId="0" borderId="0" applyNumberFormat="0" applyFill="0" applyAlignment="0" applyProtection="0"/>
    <xf numFmtId="0" fontId="42" fillId="0" borderId="0" applyNumberFormat="0" applyFill="0" applyAlignment="0" applyProtection="0"/>
    <xf numFmtId="0" fontId="43" fillId="0" borderId="0" applyNumberFormat="0" applyFill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5" fillId="0" borderId="0"/>
    <xf numFmtId="0" fontId="12" fillId="0" borderId="0">
      <alignment vertical="center"/>
    </xf>
    <xf numFmtId="0" fontId="55" fillId="0" borderId="0">
      <alignment vertical="center"/>
    </xf>
    <xf numFmtId="9" fontId="55" fillId="0" borderId="0" applyFont="0" applyFill="0" applyBorder="0" applyAlignment="0" applyProtection="0"/>
    <xf numFmtId="0" fontId="12" fillId="0" borderId="0"/>
    <xf numFmtId="0" fontId="1" fillId="0" borderId="0"/>
    <xf numFmtId="0" fontId="95" fillId="0" borderId="0" applyNumberFormat="0" applyFill="0" applyBorder="0" applyAlignment="0" applyProtection="0"/>
  </cellStyleXfs>
  <cellXfs count="695">
    <xf numFmtId="0" fontId="0" fillId="0" borderId="0" xfId="0"/>
    <xf numFmtId="0" fontId="0" fillId="2" borderId="0" xfId="0" applyFill="1"/>
    <xf numFmtId="3" fontId="0" fillId="2" borderId="4" xfId="0" applyNumberFormat="1" applyFill="1" applyBorder="1" applyAlignment="1">
      <alignment horizontal="center" vertical="center"/>
    </xf>
    <xf numFmtId="165" fontId="0" fillId="2" borderId="4" xfId="0" applyNumberFormat="1" applyFill="1" applyBorder="1" applyAlignment="1">
      <alignment horizontal="center" vertical="center"/>
    </xf>
    <xf numFmtId="0" fontId="0" fillId="4" borderId="0" xfId="0" applyFill="1"/>
    <xf numFmtId="0" fontId="22" fillId="2" borderId="0" xfId="0" applyFont="1" applyFill="1"/>
    <xf numFmtId="0" fontId="23" fillId="2" borderId="0" xfId="0" applyFont="1" applyFill="1"/>
    <xf numFmtId="0" fontId="24" fillId="2" borderId="0" xfId="0" applyFont="1" applyFill="1"/>
    <xf numFmtId="0" fontId="16" fillId="4" borderId="0" xfId="0" applyFont="1" applyFill="1" applyAlignment="1">
      <alignment horizontal="left"/>
    </xf>
    <xf numFmtId="0" fontId="25" fillId="4" borderId="0" xfId="0" applyFont="1" applyFill="1" applyAlignment="1">
      <alignment horizontal="justify"/>
    </xf>
    <xf numFmtId="0" fontId="26" fillId="4" borderId="0" xfId="0" applyFont="1" applyFill="1" applyAlignment="1">
      <alignment wrapText="1"/>
    </xf>
    <xf numFmtId="0" fontId="26" fillId="4" borderId="0" xfId="0" applyFont="1" applyFill="1" applyAlignment="1">
      <alignment horizontal="right" wrapText="1"/>
    </xf>
    <xf numFmtId="9" fontId="26" fillId="0" borderId="0" xfId="0" applyNumberFormat="1" applyFont="1" applyAlignment="1">
      <alignment horizontal="right" wrapText="1"/>
    </xf>
    <xf numFmtId="0" fontId="21" fillId="0" borderId="0" xfId="0" applyFont="1" applyAlignment="1">
      <alignment horizontal="left"/>
    </xf>
    <xf numFmtId="165" fontId="18" fillId="5" borderId="9" xfId="0" applyNumberFormat="1" applyFont="1" applyFill="1" applyBorder="1" applyAlignment="1">
      <alignment horizontal="right" vertical="center"/>
    </xf>
    <xf numFmtId="9" fontId="18" fillId="5" borderId="9" xfId="0" applyNumberFormat="1" applyFont="1" applyFill="1" applyBorder="1" applyAlignment="1">
      <alignment horizontal="right" vertical="center"/>
    </xf>
    <xf numFmtId="9" fontId="20" fillId="5" borderId="9" xfId="0" applyNumberFormat="1" applyFont="1" applyFill="1" applyBorder="1" applyAlignment="1">
      <alignment horizontal="right" vertical="center"/>
    </xf>
    <xf numFmtId="168" fontId="20" fillId="5" borderId="9" xfId="0" applyNumberFormat="1" applyFont="1" applyFill="1" applyBorder="1" applyAlignment="1">
      <alignment horizontal="right" vertical="center"/>
    </xf>
    <xf numFmtId="0" fontId="19" fillId="5" borderId="0" xfId="0" applyFont="1" applyFill="1" applyAlignment="1">
      <alignment vertical="center"/>
    </xf>
    <xf numFmtId="0" fontId="19" fillId="5" borderId="9" xfId="0" applyFont="1" applyFill="1" applyBorder="1" applyAlignment="1">
      <alignment vertical="center"/>
    </xf>
    <xf numFmtId="3" fontId="18" fillId="5" borderId="9" xfId="0" applyNumberFormat="1" applyFont="1" applyFill="1" applyBorder="1" applyAlignment="1">
      <alignment horizontal="right" vertical="center"/>
    </xf>
    <xf numFmtId="0" fontId="0" fillId="5" borderId="0" xfId="0" applyFill="1"/>
    <xf numFmtId="0" fontId="21" fillId="5" borderId="0" xfId="0" applyFont="1" applyFill="1" applyAlignment="1">
      <alignment horizontal="justify"/>
    </xf>
    <xf numFmtId="0" fontId="27" fillId="0" borderId="0" xfId="0" applyFont="1"/>
    <xf numFmtId="0" fontId="28" fillId="0" borderId="0" xfId="0" applyFont="1"/>
    <xf numFmtId="0" fontId="32" fillId="8" borderId="9" xfId="0" applyFont="1" applyFill="1" applyBorder="1" applyAlignment="1">
      <alignment horizontal="center" wrapText="1"/>
    </xf>
    <xf numFmtId="0" fontId="34" fillId="5" borderId="9" xfId="0" applyFont="1" applyFill="1" applyBorder="1"/>
    <xf numFmtId="0" fontId="35" fillId="5" borderId="9" xfId="0" applyFont="1" applyFill="1" applyBorder="1" applyAlignment="1">
      <alignment horizontal="right" wrapText="1"/>
    </xf>
    <xf numFmtId="3" fontId="35" fillId="5" borderId="9" xfId="0" applyNumberFormat="1" applyFont="1" applyFill="1" applyBorder="1" applyAlignment="1">
      <alignment horizontal="right" vertical="center"/>
    </xf>
    <xf numFmtId="9" fontId="35" fillId="5" borderId="9" xfId="0" applyNumberFormat="1" applyFont="1" applyFill="1" applyBorder="1" applyAlignment="1">
      <alignment horizontal="right" vertical="center"/>
    </xf>
    <xf numFmtId="165" fontId="35" fillId="5" borderId="9" xfId="0" applyNumberFormat="1" applyFont="1" applyFill="1" applyBorder="1" applyAlignment="1">
      <alignment horizontal="right" vertical="center"/>
    </xf>
    <xf numFmtId="168" fontId="35" fillId="5" borderId="9" xfId="0" applyNumberFormat="1" applyFont="1" applyFill="1" applyBorder="1" applyAlignment="1">
      <alignment horizontal="right" vertical="center"/>
    </xf>
    <xf numFmtId="165" fontId="32" fillId="5" borderId="9" xfId="0" applyNumberFormat="1" applyFont="1" applyFill="1" applyBorder="1" applyAlignment="1">
      <alignment horizontal="right" vertical="center"/>
    </xf>
    <xf numFmtId="9" fontId="32" fillId="5" borderId="9" xfId="0" applyNumberFormat="1" applyFont="1" applyFill="1" applyBorder="1" applyAlignment="1">
      <alignment horizontal="right" vertical="center"/>
    </xf>
    <xf numFmtId="165" fontId="37" fillId="5" borderId="9" xfId="0" applyNumberFormat="1" applyFont="1" applyFill="1" applyBorder="1" applyAlignment="1">
      <alignment horizontal="right" vertical="center"/>
    </xf>
    <xf numFmtId="0" fontId="37" fillId="5" borderId="0" xfId="0" applyFont="1" applyFill="1" applyAlignment="1">
      <alignment wrapText="1"/>
    </xf>
    <xf numFmtId="3" fontId="37" fillId="5" borderId="0" xfId="0" applyNumberFormat="1" applyFont="1" applyFill="1" applyAlignment="1">
      <alignment horizontal="right" vertical="center"/>
    </xf>
    <xf numFmtId="0" fontId="37" fillId="5" borderId="9" xfId="0" applyFont="1" applyFill="1" applyBorder="1" applyAlignment="1">
      <alignment wrapText="1"/>
    </xf>
    <xf numFmtId="3" fontId="37" fillId="5" borderId="9" xfId="0" applyNumberFormat="1" applyFont="1" applyFill="1" applyBorder="1" applyAlignment="1">
      <alignment horizontal="right" vertical="center"/>
    </xf>
    <xf numFmtId="168" fontId="37" fillId="5" borderId="0" xfId="0" applyNumberFormat="1" applyFont="1" applyFill="1" applyAlignment="1">
      <alignment horizontal="right" vertical="center"/>
    </xf>
    <xf numFmtId="168" fontId="37" fillId="5" borderId="9" xfId="0" applyNumberFormat="1" applyFont="1" applyFill="1" applyBorder="1" applyAlignment="1">
      <alignment horizontal="right" vertical="center"/>
    </xf>
    <xf numFmtId="0" fontId="32" fillId="8" borderId="9" xfId="0" applyFont="1" applyFill="1" applyBorder="1" applyAlignment="1">
      <alignment horizontal="right" wrapText="1"/>
    </xf>
    <xf numFmtId="4" fontId="35" fillId="5" borderId="9" xfId="0" applyNumberFormat="1" applyFont="1" applyFill="1" applyBorder="1" applyAlignment="1">
      <alignment horizontal="right" vertical="center"/>
    </xf>
    <xf numFmtId="170" fontId="35" fillId="5" borderId="9" xfId="0" applyNumberFormat="1" applyFont="1" applyFill="1" applyBorder="1" applyAlignment="1">
      <alignment horizontal="right" vertical="center"/>
    </xf>
    <xf numFmtId="171" fontId="35" fillId="5" borderId="9" xfId="0" applyNumberFormat="1" applyFont="1" applyFill="1" applyBorder="1" applyAlignment="1">
      <alignment horizontal="right" vertical="center"/>
    </xf>
    <xf numFmtId="3" fontId="0" fillId="2" borderId="0" xfId="0" applyNumberFormat="1" applyFill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168" fontId="32" fillId="5" borderId="9" xfId="0" applyNumberFormat="1" applyFont="1" applyFill="1" applyBorder="1" applyAlignment="1">
      <alignment horizontal="right" vertical="center"/>
    </xf>
    <xf numFmtId="168" fontId="35" fillId="5" borderId="10" xfId="0" applyNumberFormat="1" applyFont="1" applyFill="1" applyBorder="1" applyAlignment="1">
      <alignment horizontal="right" vertical="center"/>
    </xf>
    <xf numFmtId="9" fontId="35" fillId="5" borderId="10" xfId="0" applyNumberFormat="1" applyFont="1" applyFill="1" applyBorder="1" applyAlignment="1">
      <alignment horizontal="right" vertical="center"/>
    </xf>
    <xf numFmtId="0" fontId="35" fillId="11" borderId="9" xfId="0" applyFont="1" applyFill="1" applyBorder="1" applyAlignment="1">
      <alignment horizontal="right" wrapText="1"/>
    </xf>
    <xf numFmtId="3" fontId="35" fillId="11" borderId="9" xfId="0" applyNumberFormat="1" applyFont="1" applyFill="1" applyBorder="1" applyAlignment="1">
      <alignment horizontal="right" vertical="center"/>
    </xf>
    <xf numFmtId="168" fontId="35" fillId="11" borderId="9" xfId="0" applyNumberFormat="1" applyFont="1" applyFill="1" applyBorder="1" applyAlignment="1">
      <alignment horizontal="right" vertical="center"/>
    </xf>
    <xf numFmtId="4" fontId="35" fillId="11" borderId="9" xfId="0" applyNumberFormat="1" applyFont="1" applyFill="1" applyBorder="1" applyAlignment="1">
      <alignment horizontal="right" vertical="center"/>
    </xf>
    <xf numFmtId="170" fontId="35" fillId="11" borderId="9" xfId="0" applyNumberFormat="1" applyFont="1" applyFill="1" applyBorder="1" applyAlignment="1">
      <alignment horizontal="right" vertical="center"/>
    </xf>
    <xf numFmtId="165" fontId="35" fillId="11" borderId="9" xfId="0" applyNumberFormat="1" applyFont="1" applyFill="1" applyBorder="1" applyAlignment="1">
      <alignment horizontal="right" vertical="center"/>
    </xf>
    <xf numFmtId="165" fontId="32" fillId="11" borderId="9" xfId="0" applyNumberFormat="1" applyFont="1" applyFill="1" applyBorder="1" applyAlignment="1">
      <alignment horizontal="right" vertical="center"/>
    </xf>
    <xf numFmtId="165" fontId="37" fillId="11" borderId="9" xfId="0" applyNumberFormat="1" applyFont="1" applyFill="1" applyBorder="1" applyAlignment="1">
      <alignment horizontal="right" vertical="center"/>
    </xf>
    <xf numFmtId="3" fontId="37" fillId="11" borderId="0" xfId="0" applyNumberFormat="1" applyFont="1" applyFill="1" applyAlignment="1">
      <alignment horizontal="right" vertical="center"/>
    </xf>
    <xf numFmtId="3" fontId="37" fillId="11" borderId="9" xfId="0" applyNumberFormat="1" applyFont="1" applyFill="1" applyBorder="1" applyAlignment="1">
      <alignment horizontal="right" vertical="center"/>
    </xf>
    <xf numFmtId="168" fontId="37" fillId="11" borderId="0" xfId="0" applyNumberFormat="1" applyFont="1" applyFill="1" applyAlignment="1">
      <alignment horizontal="right" vertical="center"/>
    </xf>
    <xf numFmtId="168" fontId="37" fillId="11" borderId="9" xfId="0" applyNumberFormat="1" applyFont="1" applyFill="1" applyBorder="1" applyAlignment="1">
      <alignment horizontal="right" vertical="center"/>
    </xf>
    <xf numFmtId="165" fontId="0" fillId="2" borderId="0" xfId="0" applyNumberFormat="1" applyFill="1" applyAlignment="1">
      <alignment horizontal="center" vertical="center"/>
    </xf>
    <xf numFmtId="0" fontId="18" fillId="4" borderId="9" xfId="0" applyFont="1" applyFill="1" applyBorder="1" applyAlignment="1">
      <alignment horizontal="center" wrapText="1"/>
    </xf>
    <xf numFmtId="0" fontId="44" fillId="10" borderId="0" xfId="0" applyFont="1" applyFill="1" applyAlignment="1">
      <alignment horizontal="right" vertical="center"/>
    </xf>
    <xf numFmtId="0" fontId="44" fillId="10" borderId="16" xfId="0" applyFont="1" applyFill="1" applyBorder="1" applyAlignment="1">
      <alignment horizontal="right" vertical="center"/>
    </xf>
    <xf numFmtId="0" fontId="37" fillId="5" borderId="9" xfId="0" applyFont="1" applyFill="1" applyBorder="1" applyAlignment="1">
      <alignment vertical="center"/>
    </xf>
    <xf numFmtId="0" fontId="37" fillId="5" borderId="11" xfId="0" applyFont="1" applyFill="1" applyBorder="1"/>
    <xf numFmtId="9" fontId="35" fillId="5" borderId="9" xfId="6" applyFont="1" applyFill="1" applyBorder="1" applyAlignment="1">
      <alignment horizontal="right" vertical="center"/>
    </xf>
    <xf numFmtId="0" fontId="20" fillId="5" borderId="0" xfId="0" applyFont="1" applyFill="1" applyAlignment="1">
      <alignment horizontal="right" vertical="center" wrapText="1"/>
    </xf>
    <xf numFmtId="0" fontId="20" fillId="5" borderId="9" xfId="0" applyFont="1" applyFill="1" applyBorder="1" applyAlignment="1">
      <alignment horizontal="right"/>
    </xf>
    <xf numFmtId="0" fontId="20" fillId="5" borderId="9" xfId="0" applyFont="1" applyFill="1" applyBorder="1" applyAlignment="1">
      <alignment horizontal="right" wrapText="1"/>
    </xf>
    <xf numFmtId="0" fontId="14" fillId="5" borderId="9" xfId="0" applyFont="1" applyFill="1" applyBorder="1" applyAlignment="1">
      <alignment horizontal="right" vertical="center" wrapText="1"/>
    </xf>
    <xf numFmtId="3" fontId="14" fillId="5" borderId="9" xfId="0" applyNumberFormat="1" applyFont="1" applyFill="1" applyBorder="1" applyAlignment="1">
      <alignment horizontal="right"/>
    </xf>
    <xf numFmtId="0" fontId="14" fillId="5" borderId="9" xfId="0" applyFont="1" applyFill="1" applyBorder="1" applyAlignment="1">
      <alignment horizontal="right"/>
    </xf>
    <xf numFmtId="3" fontId="14" fillId="5" borderId="9" xfId="0" applyNumberFormat="1" applyFont="1" applyFill="1" applyBorder="1" applyAlignment="1">
      <alignment horizontal="right" wrapText="1"/>
    </xf>
    <xf numFmtId="3" fontId="14" fillId="5" borderId="9" xfId="0" applyNumberFormat="1" applyFont="1" applyFill="1" applyBorder="1" applyAlignment="1">
      <alignment horizontal="right" vertical="center"/>
    </xf>
    <xf numFmtId="9" fontId="14" fillId="5" borderId="9" xfId="0" applyNumberFormat="1" applyFont="1" applyFill="1" applyBorder="1" applyAlignment="1">
      <alignment horizontal="right" vertical="center"/>
    </xf>
    <xf numFmtId="0" fontId="14" fillId="5" borderId="0" xfId="0" applyFont="1" applyFill="1" applyAlignment="1">
      <alignment horizontal="right"/>
    </xf>
    <xf numFmtId="0" fontId="14" fillId="5" borderId="0" xfId="0" applyFont="1" applyFill="1" applyAlignment="1">
      <alignment horizontal="right" wrapText="1"/>
    </xf>
    <xf numFmtId="3" fontId="18" fillId="5" borderId="9" xfId="0" applyNumberFormat="1" applyFont="1" applyFill="1" applyBorder="1" applyAlignment="1">
      <alignment horizontal="right"/>
    </xf>
    <xf numFmtId="3" fontId="18" fillId="5" borderId="9" xfId="0" applyNumberFormat="1" applyFont="1" applyFill="1" applyBorder="1" applyAlignment="1">
      <alignment horizontal="right" wrapText="1"/>
    </xf>
    <xf numFmtId="0" fontId="18" fillId="4" borderId="0" xfId="0" applyFont="1" applyFill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4" borderId="0" xfId="0" applyFont="1" applyFill="1" applyAlignment="1">
      <alignment wrapText="1"/>
    </xf>
    <xf numFmtId="9" fontId="18" fillId="0" borderId="0" xfId="0" applyNumberFormat="1" applyFont="1" applyAlignment="1">
      <alignment horizontal="center" wrapText="1"/>
    </xf>
    <xf numFmtId="0" fontId="20" fillId="4" borderId="0" xfId="0" applyFont="1" applyFill="1" applyAlignment="1">
      <alignment wrapText="1"/>
    </xf>
    <xf numFmtId="0" fontId="20" fillId="4" borderId="0" xfId="0" applyFont="1" applyFill="1" applyAlignment="1">
      <alignment horizontal="center" wrapText="1"/>
    </xf>
    <xf numFmtId="9" fontId="20" fillId="0" borderId="0" xfId="0" applyNumberFormat="1" applyFont="1" applyAlignment="1">
      <alignment horizontal="center" wrapText="1"/>
    </xf>
    <xf numFmtId="0" fontId="18" fillId="4" borderId="10" xfId="0" applyFont="1" applyFill="1" applyBorder="1" applyAlignment="1">
      <alignment wrapText="1"/>
    </xf>
    <xf numFmtId="0" fontId="18" fillId="4" borderId="10" xfId="0" applyFont="1" applyFill="1" applyBorder="1" applyAlignment="1">
      <alignment horizontal="center" wrapText="1"/>
    </xf>
    <xf numFmtId="0" fontId="20" fillId="4" borderId="9" xfId="0" applyFont="1" applyFill="1" applyBorder="1" applyAlignment="1">
      <alignment wrapText="1"/>
    </xf>
    <xf numFmtId="0" fontId="20" fillId="4" borderId="9" xfId="0" applyFont="1" applyFill="1" applyBorder="1" applyAlignment="1">
      <alignment horizontal="center" wrapText="1"/>
    </xf>
    <xf numFmtId="0" fontId="18" fillId="4" borderId="11" xfId="0" applyFont="1" applyFill="1" applyBorder="1" applyAlignment="1">
      <alignment wrapText="1"/>
    </xf>
    <xf numFmtId="3" fontId="18" fillId="4" borderId="11" xfId="0" applyNumberFormat="1" applyFont="1" applyFill="1" applyBorder="1" applyAlignment="1">
      <alignment horizontal="center" wrapText="1"/>
    </xf>
    <xf numFmtId="168" fontId="37" fillId="7" borderId="9" xfId="0" applyNumberFormat="1" applyFont="1" applyFill="1" applyBorder="1" applyAlignment="1">
      <alignment horizontal="right" vertical="center"/>
    </xf>
    <xf numFmtId="168" fontId="35" fillId="7" borderId="9" xfId="0" applyNumberFormat="1" applyFont="1" applyFill="1" applyBorder="1" applyAlignment="1">
      <alignment horizontal="right" vertical="center"/>
    </xf>
    <xf numFmtId="9" fontId="35" fillId="7" borderId="9" xfId="0" applyNumberFormat="1" applyFont="1" applyFill="1" applyBorder="1" applyAlignment="1">
      <alignment horizontal="right" vertical="center"/>
    </xf>
    <xf numFmtId="165" fontId="37" fillId="7" borderId="9" xfId="0" applyNumberFormat="1" applyFont="1" applyFill="1" applyBorder="1" applyAlignment="1">
      <alignment horizontal="right" vertical="center"/>
    </xf>
    <xf numFmtId="1" fontId="0" fillId="0" borderId="0" xfId="0" applyNumberFormat="1"/>
    <xf numFmtId="0" fontId="45" fillId="0" borderId="0" xfId="0" applyFont="1"/>
    <xf numFmtId="0" fontId="28" fillId="14" borderId="7" xfId="0" applyFont="1" applyFill="1" applyBorder="1" applyAlignment="1">
      <alignment horizontal="center" vertical="center"/>
    </xf>
    <xf numFmtId="0" fontId="28" fillId="14" borderId="24" xfId="0" applyFont="1" applyFill="1" applyBorder="1" applyAlignment="1">
      <alignment horizontal="center" vertical="center"/>
    </xf>
    <xf numFmtId="0" fontId="6" fillId="12" borderId="26" xfId="0" applyFont="1" applyFill="1" applyBorder="1" applyAlignment="1">
      <alignment horizontal="center" vertical="center"/>
    </xf>
    <xf numFmtId="0" fontId="6" fillId="12" borderId="8" xfId="0" applyFont="1" applyFill="1" applyBorder="1" applyAlignment="1">
      <alignment horizontal="center" vertical="center"/>
    </xf>
    <xf numFmtId="0" fontId="6" fillId="12" borderId="27" xfId="0" applyFont="1" applyFill="1" applyBorder="1" applyAlignment="1">
      <alignment horizontal="center" vertical="center"/>
    </xf>
    <xf numFmtId="0" fontId="6" fillId="12" borderId="28" xfId="0" applyFont="1" applyFill="1" applyBorder="1" applyAlignment="1">
      <alignment horizontal="center" vertical="center"/>
    </xf>
    <xf numFmtId="0" fontId="6" fillId="12" borderId="29" xfId="0" applyFont="1" applyFill="1" applyBorder="1" applyAlignment="1">
      <alignment horizontal="center" vertical="center"/>
    </xf>
    <xf numFmtId="0" fontId="6" fillId="13" borderId="8" xfId="0" applyFont="1" applyFill="1" applyBorder="1" applyAlignment="1">
      <alignment horizontal="center" vertical="center"/>
    </xf>
    <xf numFmtId="0" fontId="6" fillId="13" borderId="27" xfId="0" applyFont="1" applyFill="1" applyBorder="1" applyAlignment="1">
      <alignment horizontal="center" vertical="center"/>
    </xf>
    <xf numFmtId="0" fontId="6" fillId="13" borderId="29" xfId="0" applyFont="1" applyFill="1" applyBorder="1" applyAlignment="1">
      <alignment horizontal="center" vertical="center"/>
    </xf>
    <xf numFmtId="0" fontId="9" fillId="2" borderId="33" xfId="4" applyFont="1" applyFill="1" applyBorder="1">
      <alignment vertical="center"/>
    </xf>
    <xf numFmtId="3" fontId="0" fillId="2" borderId="34" xfId="0" applyNumberFormat="1" applyFill="1" applyBorder="1" applyAlignment="1">
      <alignment horizontal="center" vertical="center"/>
    </xf>
    <xf numFmtId="1" fontId="0" fillId="2" borderId="35" xfId="0" applyNumberFormat="1" applyFill="1" applyBorder="1" applyAlignment="1">
      <alignment horizontal="center" vertical="center"/>
    </xf>
    <xf numFmtId="3" fontId="0" fillId="2" borderId="36" xfId="0" applyNumberFormat="1" applyFill="1" applyBorder="1" applyAlignment="1">
      <alignment horizontal="center" vertical="center"/>
    </xf>
    <xf numFmtId="165" fontId="0" fillId="2" borderId="35" xfId="0" applyNumberFormat="1" applyFill="1" applyBorder="1" applyAlignment="1">
      <alignment horizontal="center" vertical="center"/>
    </xf>
    <xf numFmtId="1" fontId="0" fillId="2" borderId="37" xfId="0" applyNumberFormat="1" applyFill="1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/>
    </xf>
    <xf numFmtId="165" fontId="0" fillId="2" borderId="37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0" fontId="0" fillId="14" borderId="38" xfId="0" applyFill="1" applyBorder="1"/>
    <xf numFmtId="165" fontId="0" fillId="14" borderId="39" xfId="0" applyNumberFormat="1" applyFill="1" applyBorder="1" applyAlignment="1">
      <alignment horizontal="center" vertical="center"/>
    </xf>
    <xf numFmtId="165" fontId="0" fillId="14" borderId="7" xfId="0" applyNumberFormat="1" applyFill="1" applyBorder="1" applyAlignment="1">
      <alignment horizontal="center" vertical="center"/>
    </xf>
    <xf numFmtId="165" fontId="0" fillId="14" borderId="24" xfId="0" applyNumberFormat="1" applyFill="1" applyBorder="1" applyAlignment="1">
      <alignment horizontal="center" vertical="center"/>
    </xf>
    <xf numFmtId="3" fontId="0" fillId="2" borderId="40" xfId="0" applyNumberFormat="1" applyFill="1" applyBorder="1" applyAlignment="1">
      <alignment horizontal="center" vertical="center"/>
    </xf>
    <xf numFmtId="1" fontId="0" fillId="2" borderId="41" xfId="0" applyNumberFormat="1" applyFill="1" applyBorder="1" applyAlignment="1">
      <alignment horizontal="center" vertical="center"/>
    </xf>
    <xf numFmtId="3" fontId="0" fillId="2" borderId="38" xfId="0" applyNumberFormat="1" applyFill="1" applyBorder="1" applyAlignment="1">
      <alignment horizontal="center" vertical="center"/>
    </xf>
    <xf numFmtId="165" fontId="0" fillId="2" borderId="41" xfId="0" applyNumberFormat="1" applyFill="1" applyBorder="1" applyAlignment="1">
      <alignment horizontal="center" vertical="center"/>
    </xf>
    <xf numFmtId="1" fontId="0" fillId="2" borderId="42" xfId="0" applyNumberFormat="1" applyFill="1" applyBorder="1" applyAlignment="1">
      <alignment horizontal="center" vertical="center"/>
    </xf>
    <xf numFmtId="165" fontId="0" fillId="2" borderId="42" xfId="0" applyNumberFormat="1" applyFill="1" applyBorder="1" applyAlignment="1">
      <alignment horizontal="center" vertical="center"/>
    </xf>
    <xf numFmtId="3" fontId="0" fillId="14" borderId="38" xfId="0" applyNumberFormat="1" applyFill="1" applyBorder="1" applyAlignment="1">
      <alignment horizontal="center" vertical="center"/>
    </xf>
    <xf numFmtId="1" fontId="0" fillId="14" borderId="0" xfId="0" applyNumberFormat="1" applyFill="1" applyAlignment="1">
      <alignment horizontal="center" vertical="center"/>
    </xf>
    <xf numFmtId="165" fontId="0" fillId="14" borderId="38" xfId="0" applyNumberFormat="1" applyFill="1" applyBorder="1" applyAlignment="1">
      <alignment horizontal="center" vertical="center"/>
    </xf>
    <xf numFmtId="165" fontId="0" fillId="14" borderId="0" xfId="0" applyNumberFormat="1" applyFill="1" applyAlignment="1">
      <alignment horizontal="center" vertical="center"/>
    </xf>
    <xf numFmtId="165" fontId="0" fillId="14" borderId="41" xfId="0" applyNumberFormat="1" applyFill="1" applyBorder="1" applyAlignment="1">
      <alignment horizontal="center" vertical="center"/>
    </xf>
    <xf numFmtId="0" fontId="28" fillId="14" borderId="31" xfId="0" applyFont="1" applyFill="1" applyBorder="1"/>
    <xf numFmtId="165" fontId="28" fillId="14" borderId="31" xfId="0" applyNumberFormat="1" applyFont="1" applyFill="1" applyBorder="1" applyAlignment="1">
      <alignment horizontal="center" vertical="center"/>
    </xf>
    <xf numFmtId="165" fontId="28" fillId="14" borderId="2" xfId="0" applyNumberFormat="1" applyFont="1" applyFill="1" applyBorder="1" applyAlignment="1">
      <alignment horizontal="center" vertical="center"/>
    </xf>
    <xf numFmtId="165" fontId="28" fillId="14" borderId="32" xfId="0" applyNumberFormat="1" applyFont="1" applyFill="1" applyBorder="1" applyAlignment="1">
      <alignment horizontal="center" vertical="center"/>
    </xf>
    <xf numFmtId="0" fontId="9" fillId="5" borderId="33" xfId="4" applyFont="1" applyFill="1" applyBorder="1">
      <alignment vertical="center"/>
    </xf>
    <xf numFmtId="3" fontId="0" fillId="5" borderId="40" xfId="0" applyNumberFormat="1" applyFill="1" applyBorder="1" applyAlignment="1">
      <alignment horizontal="center" vertical="center"/>
    </xf>
    <xf numFmtId="1" fontId="0" fillId="5" borderId="41" xfId="0" applyNumberFormat="1" applyFill="1" applyBorder="1" applyAlignment="1">
      <alignment horizontal="center" vertical="center"/>
    </xf>
    <xf numFmtId="3" fontId="0" fillId="5" borderId="38" xfId="0" applyNumberFormat="1" applyFill="1" applyBorder="1" applyAlignment="1">
      <alignment horizontal="center" vertical="center"/>
    </xf>
    <xf numFmtId="165" fontId="0" fillId="5" borderId="41" xfId="0" applyNumberFormat="1" applyFill="1" applyBorder="1" applyAlignment="1">
      <alignment horizontal="center" vertical="center"/>
    </xf>
    <xf numFmtId="1" fontId="0" fillId="5" borderId="42" xfId="0" applyNumberFormat="1" applyFill="1" applyBorder="1" applyAlignment="1">
      <alignment horizontal="center" vertical="center"/>
    </xf>
    <xf numFmtId="1" fontId="0" fillId="5" borderId="0" xfId="0" applyNumberFormat="1" applyFill="1" applyAlignment="1">
      <alignment horizontal="center" vertical="center"/>
    </xf>
    <xf numFmtId="0" fontId="46" fillId="0" borderId="0" xfId="0" applyFont="1"/>
    <xf numFmtId="0" fontId="9" fillId="2" borderId="43" xfId="4" applyFont="1" applyFill="1" applyBorder="1">
      <alignment vertical="center"/>
    </xf>
    <xf numFmtId="3" fontId="0" fillId="2" borderId="44" xfId="0" applyNumberFormat="1" applyFill="1" applyBorder="1" applyAlignment="1">
      <alignment horizontal="center" vertical="center"/>
    </xf>
    <xf numFmtId="1" fontId="0" fillId="2" borderId="45" xfId="0" applyNumberFormat="1" applyFill="1" applyBorder="1" applyAlignment="1">
      <alignment horizontal="center" vertical="center"/>
    </xf>
    <xf numFmtId="3" fontId="0" fillId="2" borderId="46" xfId="0" applyNumberFormat="1" applyFill="1" applyBorder="1" applyAlignment="1">
      <alignment horizontal="center" vertical="center"/>
    </xf>
    <xf numFmtId="165" fontId="0" fillId="2" borderId="45" xfId="0" applyNumberFormat="1" applyFill="1" applyBorder="1" applyAlignment="1">
      <alignment horizontal="center" vertical="center"/>
    </xf>
    <xf numFmtId="1" fontId="0" fillId="2" borderId="47" xfId="0" applyNumberFormat="1" applyFill="1" applyBorder="1" applyAlignment="1">
      <alignment horizontal="center" vertical="center"/>
    </xf>
    <xf numFmtId="165" fontId="0" fillId="2" borderId="47" xfId="0" applyNumberFormat="1" applyFill="1" applyBorder="1" applyAlignment="1">
      <alignment horizontal="center" vertical="center"/>
    </xf>
    <xf numFmtId="1" fontId="0" fillId="2" borderId="4" xfId="0" applyNumberFormat="1" applyFill="1" applyBorder="1" applyAlignment="1">
      <alignment horizontal="center" vertical="center"/>
    </xf>
    <xf numFmtId="3" fontId="0" fillId="5" borderId="46" xfId="0" applyNumberFormat="1" applyFill="1" applyBorder="1" applyAlignment="1">
      <alignment horizontal="center" vertical="center"/>
    </xf>
    <xf numFmtId="1" fontId="0" fillId="5" borderId="45" xfId="0" applyNumberFormat="1" applyFill="1" applyBorder="1" applyAlignment="1">
      <alignment horizontal="center" vertical="center"/>
    </xf>
    <xf numFmtId="1" fontId="0" fillId="5" borderId="4" xfId="0" applyNumberFormat="1" applyFill="1" applyBorder="1" applyAlignment="1">
      <alignment horizontal="center" vertical="center"/>
    </xf>
    <xf numFmtId="1" fontId="0" fillId="5" borderId="47" xfId="0" applyNumberFormat="1" applyFill="1" applyBorder="1" applyAlignment="1">
      <alignment horizontal="center" vertical="center"/>
    </xf>
    <xf numFmtId="0" fontId="47" fillId="5" borderId="48" xfId="4" applyFont="1" applyFill="1" applyBorder="1">
      <alignment vertical="center"/>
    </xf>
    <xf numFmtId="3" fontId="48" fillId="5" borderId="49" xfId="4" applyNumberFormat="1" applyFont="1" applyFill="1" applyBorder="1" applyAlignment="1">
      <alignment horizontal="center" vertical="center"/>
    </xf>
    <xf numFmtId="1" fontId="49" fillId="5" borderId="50" xfId="0" applyNumberFormat="1" applyFont="1" applyFill="1" applyBorder="1" applyAlignment="1">
      <alignment horizontal="center" vertical="center"/>
    </xf>
    <xf numFmtId="3" fontId="48" fillId="5" borderId="51" xfId="4" applyNumberFormat="1" applyFont="1" applyFill="1" applyBorder="1" applyAlignment="1">
      <alignment horizontal="center" vertical="center"/>
    </xf>
    <xf numFmtId="3" fontId="48" fillId="5" borderId="5" xfId="4" applyNumberFormat="1" applyFont="1" applyFill="1" applyBorder="1" applyAlignment="1">
      <alignment horizontal="center" vertical="center"/>
    </xf>
    <xf numFmtId="1" fontId="49" fillId="5" borderId="52" xfId="0" applyNumberFormat="1" applyFont="1" applyFill="1" applyBorder="1" applyAlignment="1">
      <alignment horizontal="center" vertical="center"/>
    </xf>
    <xf numFmtId="3" fontId="50" fillId="13" borderId="5" xfId="4" applyNumberFormat="1" applyFont="1" applyFill="1" applyBorder="1" applyAlignment="1">
      <alignment horizontal="center" vertical="center"/>
    </xf>
    <xf numFmtId="1" fontId="28" fillId="13" borderId="50" xfId="0" applyNumberFormat="1" applyFont="1" applyFill="1" applyBorder="1" applyAlignment="1">
      <alignment horizontal="center" vertical="center"/>
    </xf>
    <xf numFmtId="3" fontId="50" fillId="13" borderId="51" xfId="4" applyNumberFormat="1" applyFont="1" applyFill="1" applyBorder="1" applyAlignment="1">
      <alignment horizontal="center" vertical="center"/>
    </xf>
    <xf numFmtId="1" fontId="28" fillId="13" borderId="52" xfId="0" applyNumberFormat="1" applyFont="1" applyFill="1" applyBorder="1" applyAlignment="1">
      <alignment horizontal="center" vertical="center"/>
    </xf>
    <xf numFmtId="0" fontId="47" fillId="13" borderId="48" xfId="4" applyFont="1" applyFill="1" applyBorder="1">
      <alignment vertical="center"/>
    </xf>
    <xf numFmtId="1" fontId="49" fillId="5" borderId="5" xfId="0" applyNumberFormat="1" applyFont="1" applyFill="1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3" fontId="0" fillId="13" borderId="46" xfId="0" applyNumberFormat="1" applyFill="1" applyBorder="1" applyAlignment="1">
      <alignment horizontal="center" vertical="center"/>
    </xf>
    <xf numFmtId="1" fontId="0" fillId="13" borderId="4" xfId="0" applyNumberFormat="1" applyFill="1" applyBorder="1" applyAlignment="1">
      <alignment horizontal="center" vertical="center"/>
    </xf>
    <xf numFmtId="0" fontId="51" fillId="12" borderId="48" xfId="4" applyFont="1" applyFill="1" applyBorder="1">
      <alignment vertical="center"/>
    </xf>
    <xf numFmtId="3" fontId="52" fillId="12" borderId="51" xfId="4" applyNumberFormat="1" applyFont="1" applyFill="1" applyBorder="1" applyAlignment="1">
      <alignment horizontal="center" vertical="center"/>
    </xf>
    <xf numFmtId="1" fontId="53" fillId="12" borderId="50" xfId="0" applyNumberFormat="1" applyFont="1" applyFill="1" applyBorder="1" applyAlignment="1">
      <alignment horizontal="center" vertical="center"/>
    </xf>
    <xf numFmtId="3" fontId="52" fillId="12" borderId="5" xfId="4" applyNumberFormat="1" applyFont="1" applyFill="1" applyBorder="1" applyAlignment="1">
      <alignment horizontal="center" vertical="center"/>
    </xf>
    <xf numFmtId="3" fontId="50" fillId="13" borderId="1" xfId="4" applyNumberFormat="1" applyFont="1" applyFill="1" applyBorder="1" applyAlignment="1">
      <alignment horizontal="center" vertical="center"/>
    </xf>
    <xf numFmtId="1" fontId="28" fillId="13" borderId="1" xfId="0" applyNumberFormat="1" applyFont="1" applyFill="1" applyBorder="1" applyAlignment="1">
      <alignment horizontal="center" vertical="center"/>
    </xf>
    <xf numFmtId="3" fontId="50" fillId="13" borderId="53" xfId="4" applyNumberFormat="1" applyFont="1" applyFill="1" applyBorder="1" applyAlignment="1">
      <alignment horizontal="center" vertical="center"/>
    </xf>
    <xf numFmtId="1" fontId="28" fillId="13" borderId="54" xfId="0" applyNumberFormat="1" applyFont="1" applyFill="1" applyBorder="1" applyAlignment="1">
      <alignment horizontal="center" vertical="center"/>
    </xf>
    <xf numFmtId="3" fontId="48" fillId="12" borderId="51" xfId="4" applyNumberFormat="1" applyFont="1" applyFill="1" applyBorder="1" applyAlignment="1">
      <alignment horizontal="center" vertical="center"/>
    </xf>
    <xf numFmtId="1" fontId="49" fillId="12" borderId="50" xfId="0" applyNumberFormat="1" applyFont="1" applyFill="1" applyBorder="1" applyAlignment="1">
      <alignment horizontal="center" vertical="center"/>
    </xf>
    <xf numFmtId="1" fontId="49" fillId="12" borderId="52" xfId="0" applyNumberFormat="1" applyFont="1" applyFill="1" applyBorder="1" applyAlignment="1">
      <alignment horizontal="center" vertical="center"/>
    </xf>
    <xf numFmtId="0" fontId="51" fillId="9" borderId="55" xfId="4" applyFont="1" applyFill="1" applyBorder="1">
      <alignment vertical="center"/>
    </xf>
    <xf numFmtId="3" fontId="53" fillId="9" borderId="56" xfId="0" applyNumberFormat="1" applyFont="1" applyFill="1" applyBorder="1" applyAlignment="1">
      <alignment horizontal="center" vertical="center"/>
    </xf>
    <xf numFmtId="3" fontId="53" fillId="9" borderId="3" xfId="0" applyNumberFormat="1" applyFont="1" applyFill="1" applyBorder="1" applyAlignment="1">
      <alignment horizontal="center" vertical="center"/>
    </xf>
    <xf numFmtId="3" fontId="53" fillId="9" borderId="57" xfId="0" applyNumberFormat="1" applyFont="1" applyFill="1" applyBorder="1" applyAlignment="1">
      <alignment horizontal="center" vertical="center"/>
    </xf>
    <xf numFmtId="1" fontId="53" fillId="9" borderId="58" xfId="0" applyNumberFormat="1" applyFont="1" applyFill="1" applyBorder="1" applyAlignment="1">
      <alignment horizontal="center" vertical="center"/>
    </xf>
    <xf numFmtId="3" fontId="53" fillId="9" borderId="59" xfId="0" applyNumberFormat="1" applyFont="1" applyFill="1" applyBorder="1" applyAlignment="1">
      <alignment horizontal="center" vertical="center"/>
    </xf>
    <xf numFmtId="0" fontId="6" fillId="12" borderId="12" xfId="0" applyFont="1" applyFill="1" applyBorder="1" applyAlignment="1">
      <alignment horizontal="center"/>
    </xf>
    <xf numFmtId="0" fontId="47" fillId="15" borderId="33" xfId="4" applyFont="1" applyFill="1" applyBorder="1">
      <alignment vertical="center"/>
    </xf>
    <xf numFmtId="3" fontId="49" fillId="15" borderId="36" xfId="0" applyNumberFormat="1" applyFont="1" applyFill="1" applyBorder="1" applyAlignment="1">
      <alignment horizontal="center" vertical="center"/>
    </xf>
    <xf numFmtId="165" fontId="49" fillId="15" borderId="35" xfId="0" applyNumberFormat="1" applyFont="1" applyFill="1" applyBorder="1" applyAlignment="1">
      <alignment horizontal="center" vertical="center"/>
    </xf>
    <xf numFmtId="165" fontId="49" fillId="15" borderId="37" xfId="0" applyNumberFormat="1" applyFont="1" applyFill="1" applyBorder="1" applyAlignment="1">
      <alignment horizontal="center" vertical="center"/>
    </xf>
    <xf numFmtId="165" fontId="49" fillId="15" borderId="17" xfId="0" applyNumberFormat="1" applyFont="1" applyFill="1" applyBorder="1" applyAlignment="1">
      <alignment horizontal="center" vertical="center"/>
    </xf>
    <xf numFmtId="165" fontId="0" fillId="5" borderId="42" xfId="0" applyNumberFormat="1" applyFill="1" applyBorder="1" applyAlignment="1">
      <alignment horizontal="center" vertical="center"/>
    </xf>
    <xf numFmtId="165" fontId="0" fillId="5" borderId="0" xfId="0" applyNumberFormat="1" applyFill="1" applyAlignment="1">
      <alignment horizontal="center" vertical="center"/>
    </xf>
    <xf numFmtId="165" fontId="49" fillId="5" borderId="50" xfId="0" applyNumberFormat="1" applyFont="1" applyFill="1" applyBorder="1" applyAlignment="1">
      <alignment horizontal="center" vertical="center"/>
    </xf>
    <xf numFmtId="165" fontId="49" fillId="5" borderId="52" xfId="0" applyNumberFormat="1" applyFont="1" applyFill="1" applyBorder="1" applyAlignment="1">
      <alignment horizontal="center" vertical="center"/>
    </xf>
    <xf numFmtId="0" fontId="9" fillId="5" borderId="43" xfId="4" applyFont="1" applyFill="1" applyBorder="1">
      <alignment vertical="center"/>
    </xf>
    <xf numFmtId="1" fontId="53" fillId="12" borderId="52" xfId="0" applyNumberFormat="1" applyFont="1" applyFill="1" applyBorder="1" applyAlignment="1">
      <alignment horizontal="center" vertical="center"/>
    </xf>
    <xf numFmtId="1" fontId="53" fillId="12" borderId="5" xfId="0" applyNumberFormat="1" applyFont="1" applyFill="1" applyBorder="1" applyAlignment="1">
      <alignment horizontal="center" vertical="center"/>
    </xf>
    <xf numFmtId="0" fontId="6" fillId="16" borderId="8" xfId="0" applyFont="1" applyFill="1" applyBorder="1" applyAlignment="1">
      <alignment horizontal="center" vertical="center"/>
    </xf>
    <xf numFmtId="0" fontId="6" fillId="16" borderId="27" xfId="0" applyFont="1" applyFill="1" applyBorder="1" applyAlignment="1">
      <alignment horizontal="center" vertical="center"/>
    </xf>
    <xf numFmtId="0" fontId="6" fillId="16" borderId="28" xfId="0" applyFont="1" applyFill="1" applyBorder="1" applyAlignment="1">
      <alignment horizontal="center" vertical="center"/>
    </xf>
    <xf numFmtId="0" fontId="6" fillId="16" borderId="29" xfId="0" applyFont="1" applyFill="1" applyBorder="1" applyAlignment="1">
      <alignment horizontal="center" vertical="center"/>
    </xf>
    <xf numFmtId="3" fontId="0" fillId="5" borderId="36" xfId="0" applyNumberFormat="1" applyFill="1" applyBorder="1" applyAlignment="1">
      <alignment horizontal="center" vertical="center"/>
    </xf>
    <xf numFmtId="0" fontId="10" fillId="16" borderId="48" xfId="4" applyFont="1" applyFill="1" applyBorder="1">
      <alignment vertical="center"/>
    </xf>
    <xf numFmtId="3" fontId="50" fillId="16" borderId="51" xfId="4" applyNumberFormat="1" applyFont="1" applyFill="1" applyBorder="1" applyAlignment="1">
      <alignment horizontal="center" vertical="center"/>
    </xf>
    <xf numFmtId="1" fontId="28" fillId="16" borderId="50" xfId="0" applyNumberFormat="1" applyFont="1" applyFill="1" applyBorder="1" applyAlignment="1">
      <alignment horizontal="center" vertical="center"/>
    </xf>
    <xf numFmtId="165" fontId="28" fillId="16" borderId="50" xfId="0" applyNumberFormat="1" applyFont="1" applyFill="1" applyBorder="1" applyAlignment="1">
      <alignment horizontal="center" vertical="center"/>
    </xf>
    <xf numFmtId="165" fontId="28" fillId="16" borderId="52" xfId="0" applyNumberFormat="1" applyFont="1" applyFill="1" applyBorder="1" applyAlignment="1">
      <alignment horizontal="center" vertical="center"/>
    </xf>
    <xf numFmtId="1" fontId="28" fillId="16" borderId="5" xfId="0" applyNumberFormat="1" applyFont="1" applyFill="1" applyBorder="1" applyAlignment="1">
      <alignment horizontal="center" vertical="center"/>
    </xf>
    <xf numFmtId="3" fontId="50" fillId="16" borderId="5" xfId="4" applyNumberFormat="1" applyFont="1" applyFill="1" applyBorder="1" applyAlignment="1">
      <alignment horizontal="center" vertical="center"/>
    </xf>
    <xf numFmtId="1" fontId="28" fillId="16" borderId="52" xfId="0" applyNumberFormat="1" applyFont="1" applyFill="1" applyBorder="1" applyAlignment="1">
      <alignment horizontal="center" vertical="center"/>
    </xf>
    <xf numFmtId="0" fontId="9" fillId="2" borderId="18" xfId="4" applyFont="1" applyFill="1" applyBorder="1">
      <alignment vertical="center"/>
    </xf>
    <xf numFmtId="0" fontId="9" fillId="2" borderId="12" xfId="4" applyFont="1" applyFill="1" applyBorder="1">
      <alignment vertical="center"/>
    </xf>
    <xf numFmtId="1" fontId="0" fillId="2" borderId="12" xfId="0" applyNumberFormat="1" applyFill="1" applyBorder="1" applyAlignment="1">
      <alignment horizontal="center" vertical="center"/>
    </xf>
    <xf numFmtId="168" fontId="0" fillId="2" borderId="38" xfId="0" applyNumberFormat="1" applyFill="1" applyBorder="1" applyAlignment="1">
      <alignment horizontal="center" vertical="center"/>
    </xf>
    <xf numFmtId="0" fontId="9" fillId="2" borderId="48" xfId="4" applyFont="1" applyFill="1" applyBorder="1">
      <alignment vertical="center"/>
    </xf>
    <xf numFmtId="168" fontId="0" fillId="2" borderId="53" xfId="0" applyNumberFormat="1" applyFill="1" applyBorder="1" applyAlignment="1">
      <alignment horizontal="center" vertical="center"/>
    </xf>
    <xf numFmtId="165" fontId="0" fillId="2" borderId="60" xfId="0" applyNumberFormat="1" applyFill="1" applyBorder="1" applyAlignment="1">
      <alignment horizontal="center" vertical="center"/>
    </xf>
    <xf numFmtId="165" fontId="0" fillId="2" borderId="54" xfId="0" applyNumberFormat="1" applyFill="1" applyBorder="1" applyAlignment="1">
      <alignment horizontal="center" vertical="center"/>
    </xf>
    <xf numFmtId="1" fontId="0" fillId="2" borderId="60" xfId="0" applyNumberForma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165" fontId="0" fillId="5" borderId="60" xfId="0" applyNumberFormat="1" applyFill="1" applyBorder="1" applyAlignment="1">
      <alignment horizontal="center" vertical="center"/>
    </xf>
    <xf numFmtId="165" fontId="0" fillId="5" borderId="54" xfId="0" applyNumberFormat="1" applyFill="1" applyBorder="1" applyAlignment="1">
      <alignment horizontal="center" vertical="center"/>
    </xf>
    <xf numFmtId="3" fontId="28" fillId="16" borderId="57" xfId="0" applyNumberFormat="1" applyFont="1" applyFill="1" applyBorder="1" applyAlignment="1">
      <alignment horizontal="center" vertical="center"/>
    </xf>
    <xf numFmtId="3" fontId="28" fillId="16" borderId="60" xfId="0" applyNumberFormat="1" applyFont="1" applyFill="1" applyBorder="1" applyAlignment="1">
      <alignment horizontal="center" vertical="center"/>
    </xf>
    <xf numFmtId="3" fontId="28" fillId="16" borderId="58" xfId="0" applyNumberFormat="1" applyFont="1" applyFill="1" applyBorder="1" applyAlignment="1">
      <alignment horizontal="center" vertical="center"/>
    </xf>
    <xf numFmtId="3" fontId="28" fillId="16" borderId="1" xfId="0" applyNumberFormat="1" applyFont="1" applyFill="1" applyBorder="1" applyAlignment="1">
      <alignment horizontal="center" vertical="center"/>
    </xf>
    <xf numFmtId="3" fontId="28" fillId="16" borderId="54" xfId="0" applyNumberFormat="1" applyFont="1" applyFill="1" applyBorder="1" applyAlignment="1">
      <alignment horizontal="center" vertical="center"/>
    </xf>
    <xf numFmtId="3" fontId="28" fillId="16" borderId="3" xfId="0" applyNumberFormat="1" applyFont="1" applyFill="1" applyBorder="1" applyAlignment="1">
      <alignment horizontal="center" vertical="center"/>
    </xf>
    <xf numFmtId="0" fontId="56" fillId="6" borderId="73" xfId="0" applyFont="1" applyFill="1" applyBorder="1"/>
    <xf numFmtId="0" fontId="56" fillId="6" borderId="73" xfId="0" applyFont="1" applyFill="1" applyBorder="1" applyAlignment="1">
      <alignment horizontal="center"/>
    </xf>
    <xf numFmtId="0" fontId="0" fillId="0" borderId="73" xfId="0" applyBorder="1"/>
    <xf numFmtId="2" fontId="0" fillId="0" borderId="73" xfId="0" applyNumberFormat="1" applyBorder="1" applyAlignment="1">
      <alignment horizontal="center"/>
    </xf>
    <xf numFmtId="0" fontId="56" fillId="0" borderId="73" xfId="0" applyFont="1" applyBorder="1"/>
    <xf numFmtId="2" fontId="56" fillId="0" borderId="73" xfId="0" applyNumberFormat="1" applyFont="1" applyBorder="1" applyAlignment="1">
      <alignment horizontal="center"/>
    </xf>
    <xf numFmtId="2" fontId="28" fillId="0" borderId="73" xfId="0" applyNumberFormat="1" applyFont="1" applyBorder="1" applyAlignment="1">
      <alignment horizontal="center"/>
    </xf>
    <xf numFmtId="2" fontId="28" fillId="0" borderId="6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57" fillId="0" borderId="0" xfId="0" applyFont="1"/>
    <xf numFmtId="0" fontId="0" fillId="0" borderId="1" xfId="0" applyBorder="1"/>
    <xf numFmtId="0" fontId="60" fillId="2" borderId="0" xfId="4" applyFont="1" applyFill="1">
      <alignment vertical="center"/>
    </xf>
    <xf numFmtId="0" fontId="59" fillId="2" borderId="0" xfId="4" applyFont="1" applyFill="1">
      <alignment vertical="center"/>
    </xf>
    <xf numFmtId="0" fontId="59" fillId="0" borderId="0" xfId="11" applyFont="1" applyAlignment="1"/>
    <xf numFmtId="0" fontId="61" fillId="2" borderId="0" xfId="11" applyFont="1" applyFill="1">
      <alignment vertical="center"/>
    </xf>
    <xf numFmtId="0" fontId="60" fillId="0" borderId="0" xfId="11" applyFont="1" applyAlignment="1"/>
    <xf numFmtId="0" fontId="59" fillId="2" borderId="0" xfId="11" applyFont="1" applyFill="1">
      <alignment vertical="center"/>
    </xf>
    <xf numFmtId="0" fontId="62" fillId="0" borderId="0" xfId="0" applyFont="1"/>
    <xf numFmtId="3" fontId="63" fillId="5" borderId="0" xfId="0" applyNumberFormat="1" applyFont="1" applyFill="1" applyAlignment="1">
      <alignment horizontal="right" vertical="center"/>
    </xf>
    <xf numFmtId="9" fontId="63" fillId="5" borderId="0" xfId="6" applyFont="1" applyFill="1" applyBorder="1" applyAlignment="1">
      <alignment horizontal="right" vertical="center"/>
    </xf>
    <xf numFmtId="0" fontId="64" fillId="8" borderId="9" xfId="0" applyFont="1" applyFill="1" applyBorder="1" applyAlignment="1">
      <alignment horizontal="right" wrapText="1"/>
    </xf>
    <xf numFmtId="0" fontId="64" fillId="8" borderId="9" xfId="0" applyFont="1" applyFill="1" applyBorder="1" applyAlignment="1">
      <alignment horizontal="center" wrapText="1"/>
    </xf>
    <xf numFmtId="0" fontId="65" fillId="5" borderId="9" xfId="0" applyFont="1" applyFill="1" applyBorder="1"/>
    <xf numFmtId="0" fontId="65" fillId="5" borderId="9" xfId="0" applyFont="1" applyFill="1" applyBorder="1" applyAlignment="1">
      <alignment horizontal="right" wrapText="1"/>
    </xf>
    <xf numFmtId="3" fontId="65" fillId="5" borderId="9" xfId="0" applyNumberFormat="1" applyFont="1" applyFill="1" applyBorder="1" applyAlignment="1">
      <alignment horizontal="right" vertical="center"/>
    </xf>
    <xf numFmtId="168" fontId="65" fillId="5" borderId="9" xfId="0" applyNumberFormat="1" applyFont="1" applyFill="1" applyBorder="1" applyAlignment="1">
      <alignment horizontal="right" vertical="center"/>
    </xf>
    <xf numFmtId="9" fontId="65" fillId="5" borderId="9" xfId="6" applyFont="1" applyFill="1" applyBorder="1" applyAlignment="1">
      <alignment horizontal="right" vertical="center"/>
    </xf>
    <xf numFmtId="4" fontId="65" fillId="5" borderId="9" xfId="0" applyNumberFormat="1" applyFont="1" applyFill="1" applyBorder="1" applyAlignment="1">
      <alignment horizontal="right" vertical="center"/>
    </xf>
    <xf numFmtId="170" fontId="65" fillId="5" borderId="9" xfId="0" applyNumberFormat="1" applyFont="1" applyFill="1" applyBorder="1" applyAlignment="1">
      <alignment horizontal="right" vertical="center"/>
    </xf>
    <xf numFmtId="165" fontId="65" fillId="5" borderId="9" xfId="0" applyNumberFormat="1" applyFont="1" applyFill="1" applyBorder="1" applyAlignment="1">
      <alignment horizontal="right" vertical="center"/>
    </xf>
    <xf numFmtId="1" fontId="64" fillId="5" borderId="9" xfId="0" applyNumberFormat="1" applyFont="1" applyFill="1" applyBorder="1" applyAlignment="1">
      <alignment horizontal="right" vertical="center"/>
    </xf>
    <xf numFmtId="168" fontId="64" fillId="5" borderId="9" xfId="0" applyNumberFormat="1" applyFont="1" applyFill="1" applyBorder="1" applyAlignment="1">
      <alignment horizontal="right" vertical="center"/>
    </xf>
    <xf numFmtId="9" fontId="64" fillId="5" borderId="9" xfId="6" applyFont="1" applyFill="1" applyBorder="1" applyAlignment="1">
      <alignment horizontal="right" vertical="center"/>
    </xf>
    <xf numFmtId="3" fontId="65" fillId="5" borderId="0" xfId="0" applyNumberFormat="1" applyFont="1" applyFill="1" applyAlignment="1">
      <alignment horizontal="right" vertical="center"/>
    </xf>
    <xf numFmtId="9" fontId="65" fillId="5" borderId="0" xfId="6" applyFont="1" applyFill="1" applyBorder="1" applyAlignment="1">
      <alignment horizontal="right" vertical="center"/>
    </xf>
    <xf numFmtId="0" fontId="67" fillId="5" borderId="9" xfId="0" applyFont="1" applyFill="1" applyBorder="1" applyAlignment="1">
      <alignment wrapText="1"/>
    </xf>
    <xf numFmtId="168" fontId="65" fillId="5" borderId="0" xfId="0" applyNumberFormat="1" applyFont="1" applyFill="1" applyAlignment="1">
      <alignment horizontal="right" vertical="center"/>
    </xf>
    <xf numFmtId="0" fontId="67" fillId="5" borderId="9" xfId="0" applyFont="1" applyFill="1" applyBorder="1" applyAlignment="1">
      <alignment vertical="center"/>
    </xf>
    <xf numFmtId="9" fontId="65" fillId="5" borderId="9" xfId="0" applyNumberFormat="1" applyFont="1" applyFill="1" applyBorder="1" applyAlignment="1">
      <alignment horizontal="right" vertical="center"/>
    </xf>
    <xf numFmtId="0" fontId="67" fillId="5" borderId="0" xfId="0" applyFont="1" applyFill="1" applyAlignment="1">
      <alignment vertical="center"/>
    </xf>
    <xf numFmtId="0" fontId="67" fillId="5" borderId="0" xfId="0" applyFont="1" applyFill="1" applyAlignment="1">
      <alignment wrapText="1"/>
    </xf>
    <xf numFmtId="9" fontId="65" fillId="5" borderId="0" xfId="0" applyNumberFormat="1" applyFont="1" applyFill="1" applyAlignment="1">
      <alignment horizontal="right" vertical="center"/>
    </xf>
    <xf numFmtId="0" fontId="69" fillId="18" borderId="74" xfId="0" applyFont="1" applyFill="1" applyBorder="1" applyAlignment="1">
      <alignment horizontal="left" vertical="center" wrapText="1"/>
    </xf>
    <xf numFmtId="0" fontId="71" fillId="0" borderId="16" xfId="0" applyFont="1" applyBorder="1" applyAlignment="1">
      <alignment horizontal="left" vertical="center"/>
    </xf>
    <xf numFmtId="0" fontId="69" fillId="18" borderId="16" xfId="0" applyFont="1" applyFill="1" applyBorder="1" applyAlignment="1">
      <alignment horizontal="left" vertical="center"/>
    </xf>
    <xf numFmtId="0" fontId="69" fillId="10" borderId="16" xfId="0" applyFont="1" applyFill="1" applyBorder="1" applyAlignment="1">
      <alignment horizontal="left" vertical="center"/>
    </xf>
    <xf numFmtId="0" fontId="64" fillId="8" borderId="0" xfId="0" applyFont="1" applyFill="1" applyAlignment="1">
      <alignment horizontal="right" vertical="center" wrapText="1"/>
    </xf>
    <xf numFmtId="0" fontId="64" fillId="8" borderId="9" xfId="0" applyFont="1" applyFill="1" applyBorder="1" applyAlignment="1">
      <alignment horizontal="right" vertical="center" wrapText="1"/>
    </xf>
    <xf numFmtId="0" fontId="62" fillId="8" borderId="0" xfId="0" applyFont="1" applyFill="1" applyAlignment="1">
      <alignment horizontal="center"/>
    </xf>
    <xf numFmtId="4" fontId="65" fillId="5" borderId="11" xfId="0" applyNumberFormat="1" applyFont="1" applyFill="1" applyBorder="1" applyAlignment="1">
      <alignment horizontal="center" vertical="center"/>
    </xf>
    <xf numFmtId="0" fontId="69" fillId="18" borderId="4" xfId="0" applyFont="1" applyFill="1" applyBorder="1" applyAlignment="1">
      <alignment horizontal="left" vertical="center"/>
    </xf>
    <xf numFmtId="0" fontId="69" fillId="18" borderId="16" xfId="0" applyFont="1" applyFill="1" applyBorder="1" applyAlignment="1">
      <alignment horizontal="right" vertical="center"/>
    </xf>
    <xf numFmtId="9" fontId="69" fillId="18" borderId="16" xfId="0" applyNumberFormat="1" applyFont="1" applyFill="1" applyBorder="1" applyAlignment="1">
      <alignment horizontal="right" vertical="center"/>
    </xf>
    <xf numFmtId="0" fontId="69" fillId="0" borderId="16" xfId="0" applyFont="1" applyBorder="1" applyAlignment="1">
      <alignment horizontal="right" vertical="center"/>
    </xf>
    <xf numFmtId="9" fontId="69" fillId="0" borderId="16" xfId="0" applyNumberFormat="1" applyFont="1" applyBorder="1" applyAlignment="1">
      <alignment horizontal="right" vertical="center"/>
    </xf>
    <xf numFmtId="0" fontId="69" fillId="18" borderId="16" xfId="0" applyFont="1" applyFill="1" applyBorder="1" applyAlignment="1">
      <alignment horizontal="center" vertical="center"/>
    </xf>
    <xf numFmtId="0" fontId="69" fillId="0" borderId="0" xfId="0" applyFont="1"/>
    <xf numFmtId="0" fontId="59" fillId="2" borderId="55" xfId="37" applyFont="1" applyFill="1" applyBorder="1"/>
    <xf numFmtId="0" fontId="80" fillId="2" borderId="55" xfId="37" applyFont="1" applyFill="1" applyBorder="1" applyAlignment="1">
      <alignment horizontal="center" vertical="center"/>
    </xf>
    <xf numFmtId="0" fontId="59" fillId="2" borderId="3" xfId="4" applyFont="1" applyFill="1" applyBorder="1" applyAlignment="1">
      <alignment horizontal="center" vertical="center" textRotation="90" wrapText="1"/>
    </xf>
    <xf numFmtId="0" fontId="59" fillId="2" borderId="57" xfId="4" applyFont="1" applyFill="1" applyBorder="1" applyAlignment="1">
      <alignment horizontal="center" vertical="center" textRotation="90" wrapText="1"/>
    </xf>
    <xf numFmtId="0" fontId="59" fillId="3" borderId="18" xfId="4" applyFont="1" applyFill="1" applyBorder="1" applyAlignment="1">
      <alignment horizontal="center" vertical="center" textRotation="90" wrapText="1"/>
    </xf>
    <xf numFmtId="0" fontId="59" fillId="2" borderId="21" xfId="4" applyFont="1" applyFill="1" applyBorder="1" applyAlignment="1">
      <alignment horizontal="center" vertical="center" textRotation="90" wrapText="1"/>
    </xf>
    <xf numFmtId="0" fontId="59" fillId="2" borderId="61" xfId="4" applyFont="1" applyFill="1" applyBorder="1" applyAlignment="1">
      <alignment horizontal="center" vertical="center" textRotation="90" wrapText="1"/>
    </xf>
    <xf numFmtId="0" fontId="59" fillId="2" borderId="12" xfId="4" applyFont="1" applyFill="1" applyBorder="1" applyAlignment="1">
      <alignment horizontal="center" vertical="center" textRotation="90" wrapText="1"/>
    </xf>
    <xf numFmtId="0" fontId="59" fillId="2" borderId="20" xfId="4" applyFont="1" applyFill="1" applyBorder="1" applyAlignment="1">
      <alignment horizontal="center" vertical="center" textRotation="90" wrapText="1"/>
    </xf>
    <xf numFmtId="0" fontId="59" fillId="3" borderId="55" xfId="4" applyFont="1" applyFill="1" applyBorder="1" applyAlignment="1">
      <alignment horizontal="center" vertical="center" textRotation="90" wrapText="1"/>
    </xf>
    <xf numFmtId="0" fontId="59" fillId="17" borderId="55" xfId="37" applyFont="1" applyFill="1" applyBorder="1" applyAlignment="1">
      <alignment horizontal="center" vertical="center" textRotation="90"/>
    </xf>
    <xf numFmtId="0" fontId="74" fillId="2" borderId="33" xfId="4" applyFont="1" applyFill="1" applyBorder="1">
      <alignment vertical="center"/>
    </xf>
    <xf numFmtId="3" fontId="59" fillId="0" borderId="12" xfId="41" applyNumberFormat="1" applyFont="1" applyBorder="1"/>
    <xf numFmtId="3" fontId="59" fillId="0" borderId="20" xfId="41" applyNumberFormat="1" applyFont="1" applyBorder="1"/>
    <xf numFmtId="3" fontId="59" fillId="0" borderId="38" xfId="41" applyNumberFormat="1" applyFont="1" applyBorder="1"/>
    <xf numFmtId="3" fontId="59" fillId="0" borderId="61" xfId="41" applyNumberFormat="1" applyFont="1" applyBorder="1"/>
    <xf numFmtId="3" fontId="59" fillId="17" borderId="18" xfId="41" applyNumberFormat="1" applyFont="1" applyFill="1" applyBorder="1"/>
    <xf numFmtId="3" fontId="59" fillId="0" borderId="75" xfId="41" applyNumberFormat="1" applyFont="1" applyBorder="1"/>
    <xf numFmtId="3" fontId="59" fillId="0" borderId="0" xfId="41" applyNumberFormat="1" applyFont="1"/>
    <xf numFmtId="3" fontId="59" fillId="0" borderId="62" xfId="41" applyNumberFormat="1" applyFont="1" applyBorder="1"/>
    <xf numFmtId="3" fontId="59" fillId="17" borderId="33" xfId="41" applyNumberFormat="1" applyFont="1" applyFill="1" applyBorder="1"/>
    <xf numFmtId="3" fontId="59" fillId="0" borderId="68" xfId="41" applyNumberFormat="1" applyFont="1" applyBorder="1"/>
    <xf numFmtId="0" fontId="74" fillId="2" borderId="48" xfId="4" applyFont="1" applyFill="1" applyBorder="1">
      <alignment vertical="center"/>
    </xf>
    <xf numFmtId="3" fontId="59" fillId="0" borderId="63" xfId="41" applyNumberFormat="1" applyFont="1" applyBorder="1"/>
    <xf numFmtId="3" fontId="59" fillId="17" borderId="48" xfId="41" applyNumberFormat="1" applyFont="1" applyFill="1" applyBorder="1"/>
    <xf numFmtId="3" fontId="59" fillId="0" borderId="53" xfId="41" applyNumberFormat="1" applyFont="1" applyBorder="1"/>
    <xf numFmtId="3" fontId="59" fillId="0" borderId="71" xfId="41" applyNumberFormat="1" applyFont="1" applyBorder="1"/>
    <xf numFmtId="0" fontId="74" fillId="2" borderId="64" xfId="4" applyFont="1" applyFill="1" applyBorder="1">
      <alignment vertical="center"/>
    </xf>
    <xf numFmtId="3" fontId="59" fillId="0" borderId="13" xfId="41" applyNumberFormat="1" applyFont="1" applyBorder="1"/>
    <xf numFmtId="3" fontId="59" fillId="0" borderId="65" xfId="41" applyNumberFormat="1" applyFont="1" applyBorder="1"/>
    <xf numFmtId="3" fontId="59" fillId="0" borderId="66" xfId="41" applyNumberFormat="1" applyFont="1" applyBorder="1"/>
    <xf numFmtId="3" fontId="59" fillId="17" borderId="64" xfId="41" applyNumberFormat="1" applyFont="1" applyFill="1" applyBorder="1"/>
    <xf numFmtId="3" fontId="59" fillId="0" borderId="46" xfId="41" applyNumberFormat="1" applyFont="1" applyBorder="1"/>
    <xf numFmtId="3" fontId="59" fillId="0" borderId="76" xfId="41" applyNumberFormat="1" applyFont="1" applyBorder="1"/>
    <xf numFmtId="3" fontId="59" fillId="0" borderId="1" xfId="41" applyNumberFormat="1" applyFont="1" applyBorder="1"/>
    <xf numFmtId="3" fontId="59" fillId="17" borderId="77" xfId="41" applyNumberFormat="1" applyFont="1" applyFill="1" applyBorder="1"/>
    <xf numFmtId="3" fontId="59" fillId="0" borderId="72" xfId="41" applyNumberFormat="1" applyFont="1" applyBorder="1"/>
    <xf numFmtId="0" fontId="74" fillId="2" borderId="18" xfId="4" applyFont="1" applyFill="1" applyBorder="1">
      <alignment vertical="center"/>
    </xf>
    <xf numFmtId="0" fontId="74" fillId="2" borderId="43" xfId="4" applyFont="1" applyFill="1" applyBorder="1">
      <alignment vertical="center"/>
    </xf>
    <xf numFmtId="3" fontId="59" fillId="0" borderId="4" xfId="41" applyNumberFormat="1" applyFont="1" applyBorder="1"/>
    <xf numFmtId="3" fontId="59" fillId="0" borderId="30" xfId="41" applyNumberFormat="1" applyFont="1" applyBorder="1"/>
    <xf numFmtId="3" fontId="59" fillId="17" borderId="43" xfId="41" applyNumberFormat="1" applyFont="1" applyFill="1" applyBorder="1"/>
    <xf numFmtId="3" fontId="59" fillId="0" borderId="78" xfId="41" applyNumberFormat="1" applyFont="1" applyBorder="1"/>
    <xf numFmtId="0" fontId="59" fillId="0" borderId="65" xfId="41" applyFont="1" applyBorder="1"/>
    <xf numFmtId="3" fontId="59" fillId="0" borderId="67" xfId="41" applyNumberFormat="1" applyFont="1" applyBorder="1"/>
    <xf numFmtId="0" fontId="59" fillId="0" borderId="38" xfId="41" applyFont="1" applyBorder="1"/>
    <xf numFmtId="0" fontId="74" fillId="2" borderId="33" xfId="4" applyFont="1" applyFill="1" applyBorder="1" applyAlignment="1">
      <alignment horizontal="left" vertical="center"/>
    </xf>
    <xf numFmtId="3" fontId="59" fillId="0" borderId="69" xfId="41" applyNumberFormat="1" applyFont="1" applyBorder="1"/>
    <xf numFmtId="0" fontId="74" fillId="2" borderId="48" xfId="4" applyFont="1" applyFill="1" applyBorder="1" applyAlignment="1">
      <alignment horizontal="left" vertical="center"/>
    </xf>
    <xf numFmtId="0" fontId="74" fillId="2" borderId="55" xfId="4" applyFont="1" applyFill="1" applyBorder="1">
      <alignment vertical="center"/>
    </xf>
    <xf numFmtId="3" fontId="59" fillId="2" borderId="57" xfId="37" applyNumberFormat="1" applyFont="1" applyFill="1" applyBorder="1" applyAlignment="1">
      <alignment vertical="center"/>
    </xf>
    <xf numFmtId="3" fontId="59" fillId="3" borderId="55" xfId="37" applyNumberFormat="1" applyFont="1" applyFill="1" applyBorder="1" applyAlignment="1">
      <alignment vertical="center"/>
    </xf>
    <xf numFmtId="3" fontId="59" fillId="2" borderId="56" xfId="37" applyNumberFormat="1" applyFont="1" applyFill="1" applyBorder="1" applyAlignment="1">
      <alignment vertical="center"/>
    </xf>
    <xf numFmtId="0" fontId="57" fillId="0" borderId="1" xfId="0" applyFont="1" applyBorder="1"/>
    <xf numFmtId="0" fontId="73" fillId="21" borderId="0" xfId="0" applyFont="1" applyFill="1" applyAlignment="1">
      <alignment horizontal="center" vertical="center" wrapText="1"/>
    </xf>
    <xf numFmtId="0" fontId="73" fillId="21" borderId="4" xfId="0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center" wrapText="1"/>
    </xf>
    <xf numFmtId="0" fontId="78" fillId="0" borderId="0" xfId="0" applyFont="1" applyAlignment="1">
      <alignment horizontal="center" vertical="center" wrapText="1"/>
    </xf>
    <xf numFmtId="10" fontId="78" fillId="0" borderId="0" xfId="0" applyNumberFormat="1" applyFont="1" applyAlignment="1">
      <alignment horizontal="center" vertical="center" wrapText="1"/>
    </xf>
    <xf numFmtId="0" fontId="73" fillId="0" borderId="0" xfId="0" applyFont="1" applyAlignment="1">
      <alignment horizontal="left" vertical="center" wrapText="1"/>
    </xf>
    <xf numFmtId="0" fontId="73" fillId="0" borderId="0" xfId="0" applyFont="1" applyAlignment="1">
      <alignment horizontal="center" vertical="center" wrapText="1"/>
    </xf>
    <xf numFmtId="10" fontId="73" fillId="0" borderId="0" xfId="0" applyNumberFormat="1" applyFont="1" applyAlignment="1">
      <alignment horizontal="center" vertical="center" wrapText="1"/>
    </xf>
    <xf numFmtId="0" fontId="78" fillId="0" borderId="82" xfId="0" applyFont="1" applyBorder="1" applyAlignment="1">
      <alignment horizontal="left" vertical="center" wrapText="1"/>
    </xf>
    <xf numFmtId="3" fontId="78" fillId="0" borderId="82" xfId="0" applyNumberFormat="1" applyFont="1" applyBorder="1" applyAlignment="1">
      <alignment horizontal="center" vertical="center" wrapText="1"/>
    </xf>
    <xf numFmtId="10" fontId="78" fillId="0" borderId="82" xfId="0" applyNumberFormat="1" applyFont="1" applyBorder="1" applyAlignment="1">
      <alignment horizontal="center" vertical="center" wrapText="1"/>
    </xf>
    <xf numFmtId="0" fontId="74" fillId="0" borderId="0" xfId="0" applyFont="1" applyAlignment="1">
      <alignment horizontal="left" vertical="center" wrapText="1"/>
    </xf>
    <xf numFmtId="3" fontId="73" fillId="0" borderId="0" xfId="0" applyNumberFormat="1" applyFont="1" applyAlignment="1">
      <alignment horizontal="center" vertical="center" wrapText="1"/>
    </xf>
    <xf numFmtId="0" fontId="73" fillId="0" borderId="16" xfId="0" applyFont="1" applyBorder="1" applyAlignment="1">
      <alignment horizontal="left" vertical="center" wrapText="1"/>
    </xf>
    <xf numFmtId="0" fontId="73" fillId="0" borderId="16" xfId="0" applyFont="1" applyBorder="1" applyAlignment="1">
      <alignment horizontal="center" vertical="center" wrapText="1"/>
    </xf>
    <xf numFmtId="10" fontId="73" fillId="0" borderId="16" xfId="0" applyNumberFormat="1" applyFont="1" applyBorder="1" applyAlignment="1">
      <alignment horizontal="center" vertical="center" wrapText="1"/>
    </xf>
    <xf numFmtId="0" fontId="78" fillId="21" borderId="1" xfId="0" applyFont="1" applyFill="1" applyBorder="1" applyAlignment="1">
      <alignment horizontal="left" vertical="center" wrapText="1"/>
    </xf>
    <xf numFmtId="3" fontId="78" fillId="21" borderId="1" xfId="0" applyNumberFormat="1" applyFont="1" applyFill="1" applyBorder="1" applyAlignment="1">
      <alignment horizontal="center" vertical="center" wrapText="1"/>
    </xf>
    <xf numFmtId="10" fontId="78" fillId="21" borderId="1" xfId="0" applyNumberFormat="1" applyFont="1" applyFill="1" applyBorder="1" applyAlignment="1">
      <alignment horizontal="center" vertical="center" wrapText="1"/>
    </xf>
    <xf numFmtId="0" fontId="76" fillId="0" borderId="0" xfId="0" applyFont="1" applyAlignment="1">
      <alignment horizontal="center" vertical="center" wrapText="1"/>
    </xf>
    <xf numFmtId="0" fontId="76" fillId="22" borderId="0" xfId="0" applyFont="1" applyFill="1" applyAlignment="1">
      <alignment horizontal="center" vertical="center" wrapText="1"/>
    </xf>
    <xf numFmtId="3" fontId="76" fillId="22" borderId="0" xfId="0" applyNumberFormat="1" applyFont="1" applyFill="1" applyAlignment="1">
      <alignment horizontal="center" vertical="center" wrapText="1"/>
    </xf>
    <xf numFmtId="0" fontId="75" fillId="6" borderId="5" xfId="0" applyFont="1" applyFill="1" applyBorder="1" applyAlignment="1">
      <alignment vertical="center" wrapText="1"/>
    </xf>
    <xf numFmtId="0" fontId="73" fillId="6" borderId="5" xfId="0" applyFont="1" applyFill="1" applyBorder="1" applyAlignment="1">
      <alignment horizontal="center" vertical="center" wrapText="1"/>
    </xf>
    <xf numFmtId="3" fontId="76" fillId="6" borderId="5" xfId="0" applyNumberFormat="1" applyFont="1" applyFill="1" applyBorder="1" applyAlignment="1">
      <alignment horizontal="center" vertical="center" wrapText="1"/>
    </xf>
    <xf numFmtId="0" fontId="77" fillId="6" borderId="13" xfId="0" applyFont="1" applyFill="1" applyBorder="1" applyAlignment="1">
      <alignment horizontal="center" vertical="center" wrapText="1"/>
    </xf>
    <xf numFmtId="0" fontId="78" fillId="6" borderId="13" xfId="0" applyFont="1" applyFill="1" applyBorder="1" applyAlignment="1">
      <alignment horizontal="center" vertical="center" wrapText="1"/>
    </xf>
    <xf numFmtId="0" fontId="57" fillId="2" borderId="0" xfId="0" applyFont="1" applyFill="1"/>
    <xf numFmtId="0" fontId="82" fillId="3" borderId="0" xfId="0" applyFont="1" applyFill="1" applyAlignment="1">
      <alignment horizontal="center" vertical="center" wrapText="1"/>
    </xf>
    <xf numFmtId="0" fontId="82" fillId="3" borderId="1" xfId="0" applyFont="1" applyFill="1" applyBorder="1" applyAlignment="1">
      <alignment horizontal="center" vertical="center" wrapText="1"/>
    </xf>
    <xf numFmtId="0" fontId="83" fillId="5" borderId="2" xfId="0" applyFont="1" applyFill="1" applyBorder="1" applyAlignment="1">
      <alignment horizontal="left" vertical="center" wrapText="1"/>
    </xf>
    <xf numFmtId="166" fontId="83" fillId="5" borderId="6" xfId="7" applyNumberFormat="1" applyFont="1" applyFill="1" applyBorder="1" applyAlignment="1">
      <alignment horizontal="center" vertical="center" wrapText="1"/>
    </xf>
    <xf numFmtId="172" fontId="83" fillId="5" borderId="6" xfId="7" applyNumberFormat="1" applyFont="1" applyFill="1" applyBorder="1" applyAlignment="1">
      <alignment horizontal="center" vertical="center" wrapText="1"/>
    </xf>
    <xf numFmtId="169" fontId="83" fillId="5" borderId="13" xfId="5" applyNumberFormat="1" applyFont="1" applyFill="1" applyBorder="1" applyAlignment="1">
      <alignment horizontal="center" vertical="center" wrapText="1"/>
    </xf>
    <xf numFmtId="169" fontId="83" fillId="5" borderId="2" xfId="5" applyNumberFormat="1" applyFont="1" applyFill="1" applyBorder="1" applyAlignment="1">
      <alignment horizontal="center" vertical="center" wrapText="1"/>
    </xf>
    <xf numFmtId="0" fontId="83" fillId="5" borderId="0" xfId="0" applyFont="1" applyFill="1" applyAlignment="1">
      <alignment horizontal="left" vertical="center" wrapText="1"/>
    </xf>
    <xf numFmtId="37" fontId="83" fillId="5" borderId="4" xfId="7" applyNumberFormat="1" applyFont="1" applyFill="1" applyBorder="1" applyAlignment="1">
      <alignment horizontal="center" vertical="center" wrapText="1"/>
    </xf>
    <xf numFmtId="166" fontId="83" fillId="5" borderId="2" xfId="7" applyNumberFormat="1" applyFont="1" applyFill="1" applyBorder="1" applyAlignment="1">
      <alignment horizontal="center" vertical="center" wrapText="1"/>
    </xf>
    <xf numFmtId="172" fontId="83" fillId="5" borderId="2" xfId="7" applyNumberFormat="1" applyFont="1" applyFill="1" applyBorder="1" applyAlignment="1">
      <alignment horizontal="center" vertical="center" wrapText="1"/>
    </xf>
    <xf numFmtId="167" fontId="83" fillId="5" borderId="2" xfId="7" applyNumberFormat="1" applyFont="1" applyFill="1" applyBorder="1" applyAlignment="1">
      <alignment horizontal="center" vertical="center" wrapText="1"/>
    </xf>
    <xf numFmtId="173" fontId="83" fillId="5" borderId="2" xfId="7" applyNumberFormat="1" applyFont="1" applyFill="1" applyBorder="1" applyAlignment="1">
      <alignment horizontal="center" vertical="center" wrapText="1"/>
    </xf>
    <xf numFmtId="37" fontId="83" fillId="5" borderId="2" xfId="7" applyNumberFormat="1" applyFont="1" applyFill="1" applyBorder="1" applyAlignment="1">
      <alignment horizontal="center" vertical="center" wrapText="1"/>
    </xf>
    <xf numFmtId="0" fontId="83" fillId="5" borderId="1" xfId="0" applyFont="1" applyFill="1" applyBorder="1" applyAlignment="1">
      <alignment horizontal="left" vertical="center" wrapText="1"/>
    </xf>
    <xf numFmtId="167" fontId="83" fillId="5" borderId="1" xfId="7" applyNumberFormat="1" applyFont="1" applyFill="1" applyBorder="1" applyAlignment="1">
      <alignment horizontal="center" vertical="center" wrapText="1"/>
    </xf>
    <xf numFmtId="173" fontId="83" fillId="5" borderId="1" xfId="7" applyNumberFormat="1" applyFont="1" applyFill="1" applyBorder="1" applyAlignment="1">
      <alignment horizontal="center" vertical="center" wrapText="1"/>
    </xf>
    <xf numFmtId="169" fontId="83" fillId="5" borderId="5" xfId="5" applyNumberFormat="1" applyFont="1" applyFill="1" applyBorder="1" applyAlignment="1">
      <alignment horizontal="center" vertical="center" wrapText="1"/>
    </xf>
    <xf numFmtId="0" fontId="57" fillId="5" borderId="12" xfId="0" applyFont="1" applyFill="1" applyBorder="1"/>
    <xf numFmtId="0" fontId="57" fillId="5" borderId="0" xfId="0" applyFont="1" applyFill="1"/>
    <xf numFmtId="0" fontId="61" fillId="2" borderId="0" xfId="0" applyFont="1" applyFill="1" applyAlignment="1">
      <alignment horizontal="left" indent="1"/>
    </xf>
    <xf numFmtId="0" fontId="85" fillId="3" borderId="12" xfId="0" applyFont="1" applyFill="1" applyBorder="1"/>
    <xf numFmtId="0" fontId="57" fillId="3" borderId="1" xfId="0" applyFont="1" applyFill="1" applyBorder="1" applyAlignment="1">
      <alignment vertical="center"/>
    </xf>
    <xf numFmtId="0" fontId="64" fillId="3" borderId="1" xfId="0" applyFont="1" applyFill="1" applyBorder="1" applyAlignment="1">
      <alignment horizontal="center" vertical="center"/>
    </xf>
    <xf numFmtId="3" fontId="60" fillId="2" borderId="0" xfId="4" applyNumberFormat="1" applyFont="1" applyFill="1" applyAlignment="1">
      <alignment horizontal="center" vertical="center"/>
    </xf>
    <xf numFmtId="165" fontId="60" fillId="2" borderId="0" xfId="4" applyNumberFormat="1" applyFont="1" applyFill="1" applyAlignment="1">
      <alignment horizontal="center" vertical="center"/>
    </xf>
    <xf numFmtId="1" fontId="60" fillId="2" borderId="0" xfId="4" applyNumberFormat="1" applyFont="1" applyFill="1" applyAlignment="1">
      <alignment horizontal="center" vertical="center"/>
    </xf>
    <xf numFmtId="3" fontId="57" fillId="2" borderId="0" xfId="0" applyNumberFormat="1" applyFont="1" applyFill="1" applyAlignment="1">
      <alignment horizontal="center" vertical="center"/>
    </xf>
    <xf numFmtId="165" fontId="57" fillId="2" borderId="0" xfId="0" applyNumberFormat="1" applyFont="1" applyFill="1" applyAlignment="1">
      <alignment horizontal="center" vertical="center"/>
    </xf>
    <xf numFmtId="1" fontId="57" fillId="2" borderId="0" xfId="0" applyNumberFormat="1" applyFont="1" applyFill="1" applyAlignment="1">
      <alignment horizontal="center" vertical="center"/>
    </xf>
    <xf numFmtId="165" fontId="59" fillId="2" borderId="0" xfId="4" applyNumberFormat="1" applyFont="1" applyFill="1" applyAlignment="1">
      <alignment horizontal="center" vertical="center"/>
    </xf>
    <xf numFmtId="165" fontId="57" fillId="0" borderId="0" xfId="0" applyNumberFormat="1" applyFont="1"/>
    <xf numFmtId="0" fontId="59" fillId="2" borderId="4" xfId="4" applyFont="1" applyFill="1" applyBorder="1">
      <alignment vertical="center"/>
    </xf>
    <xf numFmtId="3" fontId="57" fillId="2" borderId="4" xfId="0" applyNumberFormat="1" applyFont="1" applyFill="1" applyBorder="1" applyAlignment="1">
      <alignment horizontal="center" vertical="center"/>
    </xf>
    <xf numFmtId="165" fontId="57" fillId="2" borderId="4" xfId="0" applyNumberFormat="1" applyFont="1" applyFill="1" applyBorder="1" applyAlignment="1">
      <alignment horizontal="center" vertical="center"/>
    </xf>
    <xf numFmtId="1" fontId="57" fillId="2" borderId="4" xfId="0" applyNumberFormat="1" applyFont="1" applyFill="1" applyBorder="1" applyAlignment="1">
      <alignment horizontal="center" vertical="center"/>
    </xf>
    <xf numFmtId="165" fontId="59" fillId="2" borderId="4" xfId="4" applyNumberFormat="1" applyFont="1" applyFill="1" applyBorder="1" applyAlignment="1">
      <alignment horizontal="center" vertical="center"/>
    </xf>
    <xf numFmtId="3" fontId="62" fillId="2" borderId="0" xfId="4" applyNumberFormat="1" applyFont="1" applyFill="1" applyAlignment="1">
      <alignment horizontal="center" vertical="center"/>
    </xf>
    <xf numFmtId="0" fontId="60" fillId="2" borderId="1" xfId="4" applyFont="1" applyFill="1" applyBorder="1">
      <alignment vertical="center"/>
    </xf>
    <xf numFmtId="3" fontId="60" fillId="2" borderId="1" xfId="4" applyNumberFormat="1" applyFont="1" applyFill="1" applyBorder="1" applyAlignment="1">
      <alignment horizontal="center" vertical="center"/>
    </xf>
    <xf numFmtId="165" fontId="60" fillId="2" borderId="1" xfId="4" applyNumberFormat="1" applyFont="1" applyFill="1" applyBorder="1" applyAlignment="1">
      <alignment horizontal="center" vertical="center"/>
    </xf>
    <xf numFmtId="1" fontId="60" fillId="2" borderId="1" xfId="4" applyNumberFormat="1" applyFont="1" applyFill="1" applyBorder="1" applyAlignment="1">
      <alignment horizontal="center" vertical="center"/>
    </xf>
    <xf numFmtId="165" fontId="60" fillId="2" borderId="5" xfId="4" applyNumberFormat="1" applyFont="1" applyFill="1" applyBorder="1" applyAlignment="1">
      <alignment horizontal="center" vertical="center"/>
    </xf>
    <xf numFmtId="3" fontId="62" fillId="0" borderId="0" xfId="0" applyNumberFormat="1" applyFont="1" applyAlignment="1">
      <alignment horizontal="center"/>
    </xf>
    <xf numFmtId="1" fontId="62" fillId="0" borderId="0" xfId="0" applyNumberFormat="1" applyFont="1" applyAlignment="1">
      <alignment horizontal="center"/>
    </xf>
    <xf numFmtId="3" fontId="57" fillId="0" borderId="0" xfId="0" applyNumberFormat="1" applyFont="1"/>
    <xf numFmtId="1" fontId="57" fillId="0" borderId="0" xfId="0" applyNumberFormat="1" applyFont="1"/>
    <xf numFmtId="0" fontId="79" fillId="0" borderId="0" xfId="0" applyFont="1" applyAlignment="1">
      <alignment vertical="center" readingOrder="1"/>
    </xf>
    <xf numFmtId="0" fontId="87" fillId="0" borderId="0" xfId="0" applyFont="1"/>
    <xf numFmtId="0" fontId="88" fillId="6" borderId="1" xfId="0" applyFont="1" applyFill="1" applyBorder="1" applyAlignment="1">
      <alignment horizontal="center" vertical="center"/>
    </xf>
    <xf numFmtId="0" fontId="57" fillId="10" borderId="0" xfId="0" applyFont="1" applyFill="1" applyAlignment="1">
      <alignment vertical="center"/>
    </xf>
    <xf numFmtId="1" fontId="69" fillId="10" borderId="0" xfId="0" applyNumberFormat="1" applyFont="1" applyFill="1" applyAlignment="1">
      <alignment horizontal="center" vertical="center"/>
    </xf>
    <xf numFmtId="0" fontId="57" fillId="10" borderId="1" xfId="0" applyFont="1" applyFill="1" applyBorder="1" applyAlignment="1">
      <alignment vertical="center"/>
    </xf>
    <xf numFmtId="1" fontId="69" fillId="10" borderId="1" xfId="0" applyNumberFormat="1" applyFont="1" applyFill="1" applyBorder="1" applyAlignment="1">
      <alignment horizontal="center" vertical="center"/>
    </xf>
    <xf numFmtId="0" fontId="62" fillId="10" borderId="1" xfId="0" applyFont="1" applyFill="1" applyBorder="1" applyAlignment="1">
      <alignment vertical="center"/>
    </xf>
    <xf numFmtId="1" fontId="62" fillId="10" borderId="1" xfId="0" applyNumberFormat="1" applyFont="1" applyFill="1" applyBorder="1" applyAlignment="1">
      <alignment horizontal="center" vertical="center"/>
    </xf>
    <xf numFmtId="1" fontId="59" fillId="5" borderId="0" xfId="0" applyNumberFormat="1" applyFont="1" applyFill="1" applyAlignment="1">
      <alignment horizontal="center" vertical="center"/>
    </xf>
    <xf numFmtId="165" fontId="59" fillId="5" borderId="0" xfId="0" applyNumberFormat="1" applyFont="1" applyFill="1" applyAlignment="1">
      <alignment horizontal="center" vertical="center"/>
    </xf>
    <xf numFmtId="1" fontId="59" fillId="5" borderId="1" xfId="0" applyNumberFormat="1" applyFont="1" applyFill="1" applyBorder="1" applyAlignment="1">
      <alignment horizontal="center" vertical="center"/>
    </xf>
    <xf numFmtId="0" fontId="62" fillId="5" borderId="1" xfId="0" applyFont="1" applyFill="1" applyBorder="1" applyAlignment="1">
      <alignment vertical="center"/>
    </xf>
    <xf numFmtId="1" fontId="60" fillId="5" borderId="1" xfId="0" applyNumberFormat="1" applyFont="1" applyFill="1" applyBorder="1" applyAlignment="1">
      <alignment horizontal="center" vertical="center"/>
    </xf>
    <xf numFmtId="1" fontId="62" fillId="5" borderId="1" xfId="0" applyNumberFormat="1" applyFont="1" applyFill="1" applyBorder="1" applyAlignment="1">
      <alignment horizontal="center" vertical="center"/>
    </xf>
    <xf numFmtId="0" fontId="78" fillId="19" borderId="79" xfId="0" applyFont="1" applyFill="1" applyBorder="1" applyAlignment="1">
      <alignment horizontal="justify" vertical="center"/>
    </xf>
    <xf numFmtId="0" fontId="78" fillId="0" borderId="0" xfId="0" applyFont="1" applyAlignment="1">
      <alignment horizontal="justify" vertical="center"/>
    </xf>
    <xf numFmtId="0" fontId="78" fillId="19" borderId="3" xfId="0" applyFont="1" applyFill="1" applyBorder="1" applyAlignment="1">
      <alignment horizontal="center" vertical="center" wrapText="1"/>
    </xf>
    <xf numFmtId="0" fontId="73" fillId="19" borderId="80" xfId="0" applyFont="1" applyFill="1" applyBorder="1" applyAlignment="1">
      <alignment horizontal="justify" vertical="center"/>
    </xf>
    <xf numFmtId="0" fontId="73" fillId="0" borderId="0" xfId="0" applyFont="1" applyAlignment="1">
      <alignment horizontal="justify" vertical="center"/>
    </xf>
    <xf numFmtId="0" fontId="78" fillId="19" borderId="1" xfId="0" applyFont="1" applyFill="1" applyBorder="1" applyAlignment="1">
      <alignment horizontal="center" vertical="center" wrapText="1"/>
    </xf>
    <xf numFmtId="0" fontId="78" fillId="10" borderId="81" xfId="0" applyFont="1" applyFill="1" applyBorder="1" applyAlignment="1">
      <alignment horizontal="left" vertical="center"/>
    </xf>
    <xf numFmtId="0" fontId="78" fillId="0" borderId="0" xfId="0" applyFont="1" applyAlignment="1">
      <alignment horizontal="left" vertical="center"/>
    </xf>
    <xf numFmtId="1" fontId="78" fillId="0" borderId="81" xfId="0" applyNumberFormat="1" applyFont="1" applyBorder="1" applyAlignment="1">
      <alignment horizontal="center" vertical="center" wrapText="1"/>
    </xf>
    <xf numFmtId="1" fontId="78" fillId="0" borderId="0" xfId="0" applyNumberFormat="1" applyFont="1" applyAlignment="1">
      <alignment horizontal="center" vertical="center" wrapText="1"/>
    </xf>
    <xf numFmtId="9" fontId="78" fillId="0" borderId="81" xfId="5" applyFont="1" applyBorder="1" applyAlignment="1">
      <alignment horizontal="center" vertical="center" wrapText="1"/>
    </xf>
    <xf numFmtId="0" fontId="73" fillId="10" borderId="81" xfId="0" applyFont="1" applyFill="1" applyBorder="1" applyAlignment="1">
      <alignment horizontal="left" vertical="center"/>
    </xf>
    <xf numFmtId="0" fontId="73" fillId="0" borderId="0" xfId="0" applyFont="1" applyAlignment="1">
      <alignment horizontal="left" vertical="center"/>
    </xf>
    <xf numFmtId="1" fontId="73" fillId="0" borderId="81" xfId="0" applyNumberFormat="1" applyFont="1" applyBorder="1" applyAlignment="1">
      <alignment horizontal="center" vertical="center" wrapText="1"/>
    </xf>
    <xf numFmtId="1" fontId="73" fillId="0" borderId="0" xfId="0" applyNumberFormat="1" applyFont="1" applyAlignment="1">
      <alignment horizontal="center" vertical="center" wrapText="1"/>
    </xf>
    <xf numFmtId="9" fontId="73" fillId="0" borderId="81" xfId="5" applyFont="1" applyBorder="1" applyAlignment="1">
      <alignment horizontal="center" vertical="center" wrapText="1"/>
    </xf>
    <xf numFmtId="0" fontId="73" fillId="0" borderId="81" xfId="0" applyFont="1" applyBorder="1" applyAlignment="1">
      <alignment horizontal="left" vertical="center"/>
    </xf>
    <xf numFmtId="0" fontId="78" fillId="0" borderId="81" xfId="0" applyFont="1" applyBorder="1" applyAlignment="1">
      <alignment horizontal="left" vertical="center"/>
    </xf>
    <xf numFmtId="0" fontId="78" fillId="10" borderId="1" xfId="0" applyFont="1" applyFill="1" applyBorder="1" applyAlignment="1">
      <alignment horizontal="left" vertical="center"/>
    </xf>
    <xf numFmtId="1" fontId="78" fillId="0" borderId="1" xfId="0" applyNumberFormat="1" applyFont="1" applyBorder="1" applyAlignment="1">
      <alignment horizontal="center" vertical="center" wrapText="1"/>
    </xf>
    <xf numFmtId="1" fontId="73" fillId="0" borderId="16" xfId="0" applyNumberFormat="1" applyFont="1" applyBorder="1" applyAlignment="1">
      <alignment horizontal="center" vertical="center" wrapText="1"/>
    </xf>
    <xf numFmtId="9" fontId="73" fillId="0" borderId="16" xfId="5" applyFont="1" applyBorder="1" applyAlignment="1">
      <alignment horizontal="center" vertical="center" wrapText="1"/>
    </xf>
    <xf numFmtId="0" fontId="73" fillId="10" borderId="1" xfId="0" applyFont="1" applyFill="1" applyBorder="1" applyAlignment="1">
      <alignment horizontal="left" vertical="center"/>
    </xf>
    <xf numFmtId="1" fontId="73" fillId="0" borderId="1" xfId="0" applyNumberFormat="1" applyFont="1" applyBorder="1" applyAlignment="1">
      <alignment horizontal="center" vertical="center" wrapText="1"/>
    </xf>
    <xf numFmtId="9" fontId="73" fillId="0" borderId="1" xfId="5" applyFont="1" applyBorder="1" applyAlignment="1">
      <alignment horizontal="center" vertical="center" wrapText="1"/>
    </xf>
    <xf numFmtId="0" fontId="73" fillId="10" borderId="0" xfId="0" applyFont="1" applyFill="1" applyAlignment="1">
      <alignment horizontal="left" vertical="center"/>
    </xf>
    <xf numFmtId="0" fontId="57" fillId="6" borderId="4" xfId="0" applyFont="1" applyFill="1" applyBorder="1"/>
    <xf numFmtId="0" fontId="62" fillId="6" borderId="4" xfId="0" applyFont="1" applyFill="1" applyBorder="1" applyAlignment="1">
      <alignment horizontal="center"/>
    </xf>
    <xf numFmtId="0" fontId="62" fillId="20" borderId="0" xfId="0" applyFont="1" applyFill="1"/>
    <xf numFmtId="9" fontId="57" fillId="20" borderId="0" xfId="0" applyNumberFormat="1" applyFont="1" applyFill="1" applyAlignment="1">
      <alignment horizontal="center"/>
    </xf>
    <xf numFmtId="0" fontId="62" fillId="20" borderId="1" xfId="0" applyFont="1" applyFill="1" applyBorder="1"/>
    <xf numFmtId="9" fontId="57" fillId="20" borderId="1" xfId="0" applyNumberFormat="1" applyFont="1" applyFill="1" applyBorder="1" applyAlignment="1">
      <alignment horizontal="center"/>
    </xf>
    <xf numFmtId="0" fontId="60" fillId="6" borderId="2" xfId="0" applyFont="1" applyFill="1" applyBorder="1" applyAlignment="1">
      <alignment horizontal="center" vertical="center"/>
    </xf>
    <xf numFmtId="0" fontId="82" fillId="6" borderId="2" xfId="0" applyFont="1" applyFill="1" applyBorder="1" applyAlignment="1">
      <alignment vertical="center" wrapText="1"/>
    </xf>
    <xf numFmtId="0" fontId="60" fillId="6" borderId="7" xfId="0" applyFont="1" applyFill="1" applyBorder="1" applyAlignment="1">
      <alignment horizontal="center" vertical="center"/>
    </xf>
    <xf numFmtId="0" fontId="60" fillId="6" borderId="8" xfId="0" applyFont="1" applyFill="1" applyBorder="1" applyAlignment="1">
      <alignment horizontal="center" vertical="center"/>
    </xf>
    <xf numFmtId="3" fontId="83" fillId="2" borderId="0" xfId="0" applyNumberFormat="1" applyFont="1" applyFill="1" applyAlignment="1">
      <alignment horizontal="center" vertical="center"/>
    </xf>
    <xf numFmtId="168" fontId="83" fillId="2" borderId="0" xfId="0" applyNumberFormat="1" applyFont="1" applyFill="1" applyAlignment="1">
      <alignment horizontal="center" vertical="center"/>
    </xf>
    <xf numFmtId="3" fontId="83" fillId="2" borderId="4" xfId="0" applyNumberFormat="1" applyFont="1" applyFill="1" applyBorder="1" applyAlignment="1">
      <alignment horizontal="center" vertical="center"/>
    </xf>
    <xf numFmtId="168" fontId="83" fillId="2" borderId="4" xfId="0" applyNumberFormat="1" applyFont="1" applyFill="1" applyBorder="1" applyAlignment="1">
      <alignment horizontal="center" vertical="center"/>
    </xf>
    <xf numFmtId="0" fontId="60" fillId="2" borderId="4" xfId="4" applyFont="1" applyFill="1" applyBorder="1">
      <alignment vertical="center"/>
    </xf>
    <xf numFmtId="3" fontId="82" fillId="2" borderId="4" xfId="0" applyNumberFormat="1" applyFont="1" applyFill="1" applyBorder="1" applyAlignment="1">
      <alignment horizontal="center" vertical="center"/>
    </xf>
    <xf numFmtId="0" fontId="60" fillId="2" borderId="15" xfId="4" applyFont="1" applyFill="1" applyBorder="1">
      <alignment vertical="center"/>
    </xf>
    <xf numFmtId="3" fontId="82" fillId="2" borderId="15" xfId="0" applyNumberFormat="1" applyFont="1" applyFill="1" applyBorder="1" applyAlignment="1">
      <alignment horizontal="center" vertical="center"/>
    </xf>
    <xf numFmtId="0" fontId="59" fillId="2" borderId="8" xfId="4" applyFont="1" applyFill="1" applyBorder="1">
      <alignment vertical="center"/>
    </xf>
    <xf numFmtId="169" fontId="83" fillId="2" borderId="8" xfId="5" applyNumberFormat="1" applyFont="1" applyFill="1" applyBorder="1" applyAlignment="1">
      <alignment horizontal="center" vertical="center"/>
    </xf>
    <xf numFmtId="0" fontId="65" fillId="2" borderId="8" xfId="0" applyFont="1" applyFill="1" applyBorder="1" applyAlignment="1">
      <alignment horizontal="center" vertical="center"/>
    </xf>
    <xf numFmtId="0" fontId="57" fillId="2" borderId="8" xfId="0" applyFont="1" applyFill="1" applyBorder="1"/>
    <xf numFmtId="0" fontId="57" fillId="0" borderId="8" xfId="0" applyFont="1" applyBorder="1"/>
    <xf numFmtId="0" fontId="60" fillId="6" borderId="12" xfId="0" applyFont="1" applyFill="1" applyBorder="1" applyAlignment="1">
      <alignment horizontal="center" vertical="center"/>
    </xf>
    <xf numFmtId="0" fontId="60" fillId="6" borderId="13" xfId="0" applyFont="1" applyFill="1" applyBorder="1" applyAlignment="1">
      <alignment horizontal="center" vertical="center"/>
    </xf>
    <xf numFmtId="0" fontId="60" fillId="6" borderId="0" xfId="0" applyFont="1" applyFill="1" applyAlignment="1">
      <alignment horizontal="center" vertical="center"/>
    </xf>
    <xf numFmtId="0" fontId="82" fillId="6" borderId="0" xfId="0" applyFont="1" applyFill="1" applyAlignment="1">
      <alignment horizontal="center" vertical="center" wrapText="1"/>
    </xf>
    <xf numFmtId="3" fontId="82" fillId="2" borderId="0" xfId="0" applyNumberFormat="1" applyFont="1" applyFill="1" applyAlignment="1">
      <alignment horizontal="center" vertical="center"/>
    </xf>
    <xf numFmtId="3" fontId="82" fillId="2" borderId="17" xfId="0" applyNumberFormat="1" applyFont="1" applyFill="1" applyBorder="1" applyAlignment="1">
      <alignment horizontal="center" vertical="center"/>
    </xf>
    <xf numFmtId="3" fontId="77" fillId="2" borderId="17" xfId="0" applyNumberFormat="1" applyFont="1" applyFill="1" applyBorder="1" applyAlignment="1">
      <alignment horizontal="center" vertical="center"/>
    </xf>
    <xf numFmtId="168" fontId="82" fillId="2" borderId="17" xfId="0" applyNumberFormat="1" applyFont="1" applyFill="1" applyBorder="1" applyAlignment="1">
      <alignment horizontal="center" vertical="center"/>
    </xf>
    <xf numFmtId="3" fontId="74" fillId="2" borderId="0" xfId="0" applyNumberFormat="1" applyFont="1" applyFill="1" applyAlignment="1">
      <alignment horizontal="center" vertical="center"/>
    </xf>
    <xf numFmtId="0" fontId="59" fillId="0" borderId="0" xfId="0" applyFont="1"/>
    <xf numFmtId="0" fontId="59" fillId="0" borderId="0" xfId="0" quotePrefix="1" applyFont="1"/>
    <xf numFmtId="3" fontId="83" fillId="5" borderId="4" xfId="0" applyNumberFormat="1" applyFont="1" applyFill="1" applyBorder="1" applyAlignment="1">
      <alignment horizontal="center" vertical="center"/>
    </xf>
    <xf numFmtId="3" fontId="74" fillId="5" borderId="4" xfId="0" applyNumberFormat="1" applyFont="1" applyFill="1" applyBorder="1" applyAlignment="1">
      <alignment horizontal="center" vertical="center"/>
    </xf>
    <xf numFmtId="3" fontId="77" fillId="2" borderId="0" xfId="0" applyNumberFormat="1" applyFont="1" applyFill="1" applyAlignment="1">
      <alignment horizontal="center" vertical="center"/>
    </xf>
    <xf numFmtId="3" fontId="83" fillId="5" borderId="0" xfId="0" applyNumberFormat="1" applyFont="1" applyFill="1" applyAlignment="1">
      <alignment horizontal="center" vertical="center"/>
    </xf>
    <xf numFmtId="3" fontId="74" fillId="5" borderId="0" xfId="0" applyNumberFormat="1" applyFont="1" applyFill="1" applyAlignment="1">
      <alignment horizontal="center" vertical="center"/>
    </xf>
    <xf numFmtId="0" fontId="60" fillId="2" borderId="5" xfId="4" applyFont="1" applyFill="1" applyBorder="1">
      <alignment vertical="center"/>
    </xf>
    <xf numFmtId="3" fontId="82" fillId="2" borderId="5" xfId="0" applyNumberFormat="1" applyFont="1" applyFill="1" applyBorder="1" applyAlignment="1">
      <alignment horizontal="center" vertical="center"/>
    </xf>
    <xf numFmtId="3" fontId="77" fillId="2" borderId="5" xfId="0" applyNumberFormat="1" applyFont="1" applyFill="1" applyBorder="1" applyAlignment="1">
      <alignment horizontal="center" vertical="center"/>
    </xf>
    <xf numFmtId="168" fontId="82" fillId="2" borderId="5" xfId="0" applyNumberFormat="1" applyFont="1" applyFill="1" applyBorder="1" applyAlignment="1">
      <alignment horizontal="center" vertical="center"/>
    </xf>
    <xf numFmtId="0" fontId="59" fillId="2" borderId="1" xfId="11" applyFont="1" applyFill="1" applyBorder="1">
      <alignment vertical="center"/>
    </xf>
    <xf numFmtId="0" fontId="59" fillId="2" borderId="0" xfId="11" applyFont="1" applyFill="1" applyAlignment="1"/>
    <xf numFmtId="0" fontId="77" fillId="6" borderId="12" xfId="11" applyFont="1" applyFill="1" applyBorder="1" applyAlignment="1">
      <alignment horizontal="center" vertical="center"/>
    </xf>
    <xf numFmtId="0" fontId="77" fillId="6" borderId="3" xfId="11" applyFont="1" applyFill="1" applyBorder="1" applyAlignment="1">
      <alignment horizontal="center" vertical="center"/>
    </xf>
    <xf numFmtId="0" fontId="82" fillId="6" borderId="3" xfId="0" applyFont="1" applyFill="1" applyBorder="1" applyAlignment="1">
      <alignment horizontal="center" vertical="center" wrapText="1"/>
    </xf>
    <xf numFmtId="0" fontId="77" fillId="6" borderId="3" xfId="11" applyFont="1" applyFill="1" applyBorder="1">
      <alignment vertical="center"/>
    </xf>
    <xf numFmtId="0" fontId="77" fillId="6" borderId="1" xfId="11" applyFont="1" applyFill="1" applyBorder="1" applyAlignment="1">
      <alignment horizontal="center" vertical="center"/>
    </xf>
    <xf numFmtId="0" fontId="77" fillId="2" borderId="0" xfId="4" applyFont="1" applyFill="1">
      <alignment vertical="center"/>
    </xf>
    <xf numFmtId="3" fontId="77" fillId="2" borderId="0" xfId="11" applyNumberFormat="1" applyFont="1" applyFill="1" applyAlignment="1">
      <alignment horizontal="center" vertical="center"/>
    </xf>
    <xf numFmtId="168" fontId="77" fillId="2" borderId="0" xfId="5" applyNumberFormat="1" applyFont="1" applyFill="1" applyAlignment="1">
      <alignment horizontal="center" vertical="center"/>
    </xf>
    <xf numFmtId="9" fontId="59" fillId="0" borderId="0" xfId="5" applyFont="1" applyAlignment="1"/>
    <xf numFmtId="3" fontId="59" fillId="0" borderId="0" xfId="11" applyNumberFormat="1" applyFont="1" applyAlignment="1"/>
    <xf numFmtId="0" fontId="74" fillId="2" borderId="0" xfId="4" applyFont="1" applyFill="1">
      <alignment vertical="center"/>
    </xf>
    <xf numFmtId="3" fontId="74" fillId="2" borderId="0" xfId="11" applyNumberFormat="1" applyFont="1" applyFill="1" applyAlignment="1">
      <alignment horizontal="center" vertical="center"/>
    </xf>
    <xf numFmtId="168" fontId="74" fillId="2" borderId="0" xfId="5" applyNumberFormat="1" applyFont="1" applyFill="1" applyAlignment="1">
      <alignment horizontal="center" vertical="center"/>
    </xf>
    <xf numFmtId="0" fontId="74" fillId="2" borderId="4" xfId="4" applyFont="1" applyFill="1" applyBorder="1">
      <alignment vertical="center"/>
    </xf>
    <xf numFmtId="3" fontId="74" fillId="2" borderId="4" xfId="11" applyNumberFormat="1" applyFont="1" applyFill="1" applyBorder="1" applyAlignment="1">
      <alignment horizontal="center" vertical="center"/>
    </xf>
    <xf numFmtId="168" fontId="74" fillId="2" borderId="4" xfId="5" applyNumberFormat="1" applyFont="1" applyFill="1" applyBorder="1" applyAlignment="1">
      <alignment horizontal="center" vertical="center"/>
    </xf>
    <xf numFmtId="0" fontId="74" fillId="2" borderId="1" xfId="4" applyFont="1" applyFill="1" applyBorder="1">
      <alignment vertical="center"/>
    </xf>
    <xf numFmtId="3" fontId="74" fillId="2" borderId="1" xfId="11" applyNumberFormat="1" applyFont="1" applyFill="1" applyBorder="1" applyAlignment="1">
      <alignment horizontal="center" vertical="center"/>
    </xf>
    <xf numFmtId="168" fontId="74" fillId="2" borderId="1" xfId="5" applyNumberFormat="1" applyFont="1" applyFill="1" applyBorder="1" applyAlignment="1">
      <alignment horizontal="center" vertical="center"/>
    </xf>
    <xf numFmtId="3" fontId="61" fillId="2" borderId="0" xfId="11" applyNumberFormat="1" applyFont="1" applyFill="1">
      <alignment vertical="center"/>
    </xf>
    <xf numFmtId="0" fontId="72" fillId="0" borderId="1" xfId="0" applyFont="1" applyBorder="1" applyAlignment="1">
      <alignment horizontal="justify" vertical="center"/>
    </xf>
    <xf numFmtId="0" fontId="72" fillId="0" borderId="0" xfId="0" applyFont="1" applyAlignment="1">
      <alignment horizontal="justify" vertical="center"/>
    </xf>
    <xf numFmtId="0" fontId="89" fillId="0" borderId="0" xfId="0" applyFont="1"/>
    <xf numFmtId="0" fontId="58" fillId="6" borderId="38" xfId="0" applyFont="1" applyFill="1" applyBorder="1"/>
    <xf numFmtId="0" fontId="58" fillId="6" borderId="0" xfId="0" applyFont="1" applyFill="1" applyAlignment="1">
      <alignment horizontal="center"/>
    </xf>
    <xf numFmtId="0" fontId="58" fillId="6" borderId="41" xfId="0" applyFont="1" applyFill="1" applyBorder="1" applyAlignment="1">
      <alignment horizontal="center"/>
    </xf>
    <xf numFmtId="9" fontId="59" fillId="0" borderId="0" xfId="5" applyFont="1" applyFill="1" applyBorder="1" applyAlignment="1">
      <alignment horizontal="center"/>
    </xf>
    <xf numFmtId="0" fontId="59" fillId="0" borderId="1" xfId="0" applyFont="1" applyBorder="1"/>
    <xf numFmtId="9" fontId="59" fillId="0" borderId="1" xfId="5" applyFont="1" applyFill="1" applyBorder="1" applyAlignment="1">
      <alignment horizontal="center"/>
    </xf>
    <xf numFmtId="0" fontId="59" fillId="0" borderId="7" xfId="0" applyFont="1" applyBorder="1"/>
    <xf numFmtId="9" fontId="59" fillId="0" borderId="7" xfId="5" applyFont="1" applyFill="1" applyBorder="1" applyAlignment="1">
      <alignment horizontal="center"/>
    </xf>
    <xf numFmtId="2" fontId="59" fillId="0" borderId="0" xfId="0" applyNumberFormat="1" applyFont="1" applyAlignment="1">
      <alignment horizontal="center"/>
    </xf>
    <xf numFmtId="0" fontId="58" fillId="0" borderId="0" xfId="0" applyFont="1"/>
    <xf numFmtId="2" fontId="58" fillId="0" borderId="0" xfId="0" applyNumberFormat="1" applyFont="1" applyAlignment="1">
      <alignment horizontal="center"/>
    </xf>
    <xf numFmtId="0" fontId="58" fillId="0" borderId="1" xfId="0" applyFont="1" applyBorder="1"/>
    <xf numFmtId="2" fontId="58" fillId="0" borderId="1" xfId="0" applyNumberFormat="1" applyFont="1" applyBorder="1" applyAlignment="1">
      <alignment horizontal="center"/>
    </xf>
    <xf numFmtId="2" fontId="59" fillId="0" borderId="1" xfId="0" applyNumberFormat="1" applyFont="1" applyBorder="1" applyAlignment="1">
      <alignment horizontal="center"/>
    </xf>
    <xf numFmtId="0" fontId="58" fillId="17" borderId="65" xfId="0" applyFont="1" applyFill="1" applyBorder="1"/>
    <xf numFmtId="0" fontId="58" fillId="17" borderId="13" xfId="0" applyFont="1" applyFill="1" applyBorder="1" applyAlignment="1">
      <alignment horizontal="center"/>
    </xf>
    <xf numFmtId="0" fontId="58" fillId="17" borderId="4" xfId="0" applyFont="1" applyFill="1" applyBorder="1" applyAlignment="1">
      <alignment horizontal="center"/>
    </xf>
    <xf numFmtId="9" fontId="78" fillId="0" borderId="1" xfId="0" applyNumberFormat="1" applyFont="1" applyBorder="1" applyAlignment="1">
      <alignment horizontal="center" vertical="center" wrapText="1"/>
    </xf>
    <xf numFmtId="168" fontId="82" fillId="2" borderId="0" xfId="0" applyNumberFormat="1" applyFont="1" applyFill="1" applyAlignment="1">
      <alignment horizontal="center" vertical="center"/>
    </xf>
    <xf numFmtId="168" fontId="82" fillId="2" borderId="4" xfId="0" applyNumberFormat="1" applyFont="1" applyFill="1" applyBorder="1" applyAlignment="1">
      <alignment horizontal="center" vertical="center"/>
    </xf>
    <xf numFmtId="168" fontId="82" fillId="2" borderId="15" xfId="0" applyNumberFormat="1" applyFont="1" applyFill="1" applyBorder="1" applyAlignment="1">
      <alignment horizontal="center" vertical="center"/>
    </xf>
    <xf numFmtId="0" fontId="60" fillId="23" borderId="3" xfId="0" applyFont="1" applyFill="1" applyBorder="1" applyAlignment="1">
      <alignment horizontal="center" vertical="center" wrapText="1"/>
    </xf>
    <xf numFmtId="0" fontId="88" fillId="23" borderId="3" xfId="0" applyFont="1" applyFill="1" applyBorder="1" applyAlignment="1">
      <alignment horizontal="center" vertical="center" wrapText="1"/>
    </xf>
    <xf numFmtId="0" fontId="90" fillId="10" borderId="0" xfId="0" applyFont="1" applyFill="1" applyAlignment="1">
      <alignment horizontal="left" vertical="center" wrapText="1" indent="2"/>
    </xf>
    <xf numFmtId="0" fontId="69" fillId="10" borderId="0" xfId="0" applyFont="1" applyFill="1" applyAlignment="1">
      <alignment horizontal="left" vertical="center" wrapText="1" indent="2"/>
    </xf>
    <xf numFmtId="0" fontId="69" fillId="10" borderId="1" xfId="0" applyFont="1" applyFill="1" applyBorder="1" applyAlignment="1">
      <alignment horizontal="left" vertical="center" wrapText="1" indent="2"/>
    </xf>
    <xf numFmtId="0" fontId="90" fillId="0" borderId="0" xfId="0" applyFont="1" applyAlignment="1">
      <alignment horizontal="left" vertical="center" wrapText="1" indent="2"/>
    </xf>
    <xf numFmtId="0" fontId="59" fillId="0" borderId="0" xfId="0" applyFont="1" applyAlignment="1">
      <alignment horizontal="left" vertical="center" wrapText="1" indent="2"/>
    </xf>
    <xf numFmtId="0" fontId="59" fillId="0" borderId="1" xfId="0" applyFont="1" applyBorder="1" applyAlignment="1">
      <alignment horizontal="left" vertical="center" wrapText="1" indent="2"/>
    </xf>
    <xf numFmtId="0" fontId="90" fillId="0" borderId="1" xfId="0" applyFont="1" applyBorder="1" applyAlignment="1">
      <alignment horizontal="left" vertical="center" wrapText="1" indent="2"/>
    </xf>
    <xf numFmtId="0" fontId="59" fillId="0" borderId="70" xfId="0" applyFont="1" applyBorder="1" applyAlignment="1">
      <alignment horizontal="left" vertical="center" wrapText="1" indent="2"/>
    </xf>
    <xf numFmtId="0" fontId="90" fillId="0" borderId="0" xfId="0" applyFont="1" applyAlignment="1">
      <alignment horizontal="left" vertical="center" wrapText="1"/>
    </xf>
    <xf numFmtId="0" fontId="90" fillId="10" borderId="0" xfId="0" applyFont="1" applyFill="1" applyAlignment="1">
      <alignment horizontal="left" vertical="center" wrapText="1"/>
    </xf>
    <xf numFmtId="0" fontId="90" fillId="10" borderId="12" xfId="0" applyFont="1" applyFill="1" applyBorder="1" applyAlignment="1">
      <alignment horizontal="left" vertical="center" wrapText="1" indent="2"/>
    </xf>
    <xf numFmtId="0" fontId="90" fillId="10" borderId="1" xfId="0" applyFont="1" applyFill="1" applyBorder="1" applyAlignment="1">
      <alignment horizontal="left" vertical="center" wrapText="1" indent="2"/>
    </xf>
    <xf numFmtId="1" fontId="65" fillId="5" borderId="9" xfId="0" applyNumberFormat="1" applyFont="1" applyFill="1" applyBorder="1" applyAlignment="1">
      <alignment horizontal="right" vertical="center"/>
    </xf>
    <xf numFmtId="0" fontId="69" fillId="0" borderId="16" xfId="0" applyFont="1" applyBorder="1" applyAlignment="1">
      <alignment horizontal="left" vertical="center"/>
    </xf>
    <xf numFmtId="0" fontId="93" fillId="10" borderId="16" xfId="0" applyFont="1" applyFill="1" applyBorder="1" applyAlignment="1">
      <alignment horizontal="right" vertical="center"/>
    </xf>
    <xf numFmtId="3" fontId="93" fillId="10" borderId="16" xfId="0" applyNumberFormat="1" applyFont="1" applyFill="1" applyBorder="1" applyAlignment="1">
      <alignment horizontal="right" vertical="center"/>
    </xf>
    <xf numFmtId="0" fontId="93" fillId="0" borderId="16" xfId="0" applyFont="1" applyBorder="1" applyAlignment="1">
      <alignment horizontal="left" vertical="center"/>
    </xf>
    <xf numFmtId="9" fontId="93" fillId="10" borderId="16" xfId="0" applyNumberFormat="1" applyFont="1" applyFill="1" applyBorder="1" applyAlignment="1">
      <alignment horizontal="right" vertical="center"/>
    </xf>
    <xf numFmtId="3" fontId="93" fillId="18" borderId="83" xfId="0" applyNumberFormat="1" applyFont="1" applyFill="1" applyBorder="1" applyAlignment="1">
      <alignment horizontal="right" vertical="center"/>
    </xf>
    <xf numFmtId="0" fontId="93" fillId="18" borderId="83" xfId="0" applyFont="1" applyFill="1" applyBorder="1" applyAlignment="1">
      <alignment horizontal="left" vertical="center"/>
    </xf>
    <xf numFmtId="0" fontId="93" fillId="18" borderId="83" xfId="0" applyFont="1" applyFill="1" applyBorder="1" applyAlignment="1">
      <alignment horizontal="right" vertical="center"/>
    </xf>
    <xf numFmtId="10" fontId="93" fillId="18" borderId="83" xfId="0" applyNumberFormat="1" applyFont="1" applyFill="1" applyBorder="1" applyAlignment="1">
      <alignment horizontal="right" vertical="center"/>
    </xf>
    <xf numFmtId="9" fontId="93" fillId="18" borderId="83" xfId="0" applyNumberFormat="1" applyFont="1" applyFill="1" applyBorder="1" applyAlignment="1">
      <alignment horizontal="right" vertical="center"/>
    </xf>
    <xf numFmtId="1" fontId="65" fillId="5" borderId="0" xfId="0" applyNumberFormat="1" applyFont="1" applyFill="1" applyAlignment="1">
      <alignment horizontal="right" vertical="center"/>
    </xf>
    <xf numFmtId="0" fontId="94" fillId="17" borderId="4" xfId="0" applyFont="1" applyFill="1" applyBorder="1"/>
    <xf numFmtId="0" fontId="57" fillId="0" borderId="0" xfId="43" applyFont="1" applyFill="1"/>
    <xf numFmtId="0" fontId="57" fillId="0" borderId="1" xfId="43" applyFont="1" applyFill="1" applyBorder="1"/>
    <xf numFmtId="0" fontId="57" fillId="0" borderId="84" xfId="43" applyFont="1" applyFill="1" applyBorder="1"/>
    <xf numFmtId="0" fontId="57" fillId="0" borderId="0" xfId="43" applyFont="1" applyFill="1" applyBorder="1"/>
    <xf numFmtId="0" fontId="57" fillId="24" borderId="85" xfId="43" applyFont="1" applyFill="1" applyBorder="1"/>
    <xf numFmtId="0" fontId="57" fillId="0" borderId="85" xfId="43" applyFont="1" applyFill="1" applyBorder="1"/>
    <xf numFmtId="0" fontId="57" fillId="0" borderId="86" xfId="43" applyFont="1" applyFill="1" applyBorder="1"/>
    <xf numFmtId="0" fontId="94" fillId="17" borderId="87" xfId="0" applyFont="1" applyFill="1" applyBorder="1"/>
    <xf numFmtId="9" fontId="57" fillId="0" borderId="1" xfId="0" applyNumberFormat="1" applyFont="1" applyBorder="1" applyAlignment="1">
      <alignment horizontal="center"/>
    </xf>
    <xf numFmtId="0" fontId="60" fillId="0" borderId="0" xfId="43" applyFont="1"/>
    <xf numFmtId="0" fontId="82" fillId="3" borderId="12" xfId="0" applyFont="1" applyFill="1" applyBorder="1" applyAlignment="1">
      <alignment horizontal="center" vertical="center" wrapText="1"/>
    </xf>
    <xf numFmtId="0" fontId="82" fillId="3" borderId="0" xfId="0" applyFont="1" applyFill="1" applyAlignment="1">
      <alignment horizontal="center" vertical="center" wrapText="1"/>
    </xf>
    <xf numFmtId="0" fontId="82" fillId="3" borderId="14" xfId="0" applyFont="1" applyFill="1" applyBorder="1" applyAlignment="1">
      <alignment horizontal="center" vertical="center" wrapText="1"/>
    </xf>
    <xf numFmtId="0" fontId="83" fillId="2" borderId="7" xfId="0" applyFont="1" applyFill="1" applyBorder="1" applyAlignment="1">
      <alignment horizontal="left" vertical="center" wrapText="1"/>
    </xf>
    <xf numFmtId="0" fontId="83" fillId="2" borderId="0" xfId="0" applyFont="1" applyFill="1" applyAlignment="1">
      <alignment horizontal="left" vertical="center" wrapText="1"/>
    </xf>
    <xf numFmtId="0" fontId="83" fillId="2" borderId="4" xfId="0" applyFont="1" applyFill="1" applyBorder="1" applyAlignment="1">
      <alignment horizontal="left" vertical="center" wrapText="1"/>
    </xf>
    <xf numFmtId="0" fontId="83" fillId="2" borderId="1" xfId="0" applyFont="1" applyFill="1" applyBorder="1" applyAlignment="1">
      <alignment horizontal="left" vertical="center" wrapText="1"/>
    </xf>
    <xf numFmtId="0" fontId="82" fillId="3" borderId="3" xfId="0" applyFont="1" applyFill="1" applyBorder="1" applyAlignment="1">
      <alignment horizontal="center" vertical="center" wrapText="1"/>
    </xf>
    <xf numFmtId="0" fontId="83" fillId="5" borderId="7" xfId="0" applyFont="1" applyFill="1" applyBorder="1" applyAlignment="1">
      <alignment horizontal="left" vertical="center" wrapText="1"/>
    </xf>
    <xf numFmtId="0" fontId="83" fillId="5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58" fillId="6" borderId="65" xfId="0" applyFont="1" applyFill="1" applyBorder="1" applyAlignment="1">
      <alignment horizontal="center"/>
    </xf>
    <xf numFmtId="0" fontId="58" fillId="6" borderId="13" xfId="0" applyFont="1" applyFill="1" applyBorder="1" applyAlignment="1">
      <alignment horizontal="center"/>
    </xf>
    <xf numFmtId="0" fontId="64" fillId="3" borderId="13" xfId="0" applyFont="1" applyFill="1" applyBorder="1" applyAlignment="1">
      <alignment horizontal="center"/>
    </xf>
    <xf numFmtId="0" fontId="64" fillId="3" borderId="12" xfId="0" applyFont="1" applyFill="1" applyBorder="1" applyAlignment="1">
      <alignment horizontal="center" vertical="center" wrapText="1"/>
    </xf>
    <xf numFmtId="0" fontId="64" fillId="3" borderId="1" xfId="0" applyFont="1" applyFill="1" applyBorder="1" applyAlignment="1">
      <alignment horizontal="center" vertical="center"/>
    </xf>
    <xf numFmtId="0" fontId="64" fillId="3" borderId="12" xfId="0" applyFont="1" applyFill="1" applyBorder="1" applyAlignment="1">
      <alignment horizontal="center"/>
    </xf>
    <xf numFmtId="0" fontId="88" fillId="6" borderId="12" xfId="0" applyFont="1" applyFill="1" applyBorder="1" applyAlignment="1">
      <alignment horizontal="center" vertical="center" wrapText="1"/>
    </xf>
    <xf numFmtId="0" fontId="88" fillId="6" borderId="1" xfId="0" applyFont="1" applyFill="1" applyBorder="1" applyAlignment="1">
      <alignment horizontal="center" vertical="center" wrapText="1"/>
    </xf>
    <xf numFmtId="0" fontId="88" fillId="6" borderId="3" xfId="0" applyFont="1" applyFill="1" applyBorder="1" applyAlignment="1">
      <alignment horizontal="center" vertical="center"/>
    </xf>
    <xf numFmtId="0" fontId="60" fillId="6" borderId="7" xfId="0" applyFont="1" applyFill="1" applyBorder="1" applyAlignment="1">
      <alignment horizontal="center" vertical="center"/>
    </xf>
    <xf numFmtId="0" fontId="60" fillId="6" borderId="8" xfId="0" applyFont="1" applyFill="1" applyBorder="1" applyAlignment="1">
      <alignment horizontal="center" vertical="center"/>
    </xf>
    <xf numFmtId="0" fontId="82" fillId="6" borderId="7" xfId="0" applyFont="1" applyFill="1" applyBorder="1" applyAlignment="1">
      <alignment horizontal="center" vertical="center" wrapText="1"/>
    </xf>
    <xf numFmtId="0" fontId="82" fillId="6" borderId="8" xfId="0" applyFont="1" applyFill="1" applyBorder="1" applyAlignment="1">
      <alignment horizontal="center" vertical="center" wrapText="1"/>
    </xf>
    <xf numFmtId="0" fontId="64" fillId="6" borderId="7" xfId="0" applyFont="1" applyFill="1" applyBorder="1" applyAlignment="1">
      <alignment horizontal="center" vertical="center"/>
    </xf>
    <xf numFmtId="0" fontId="64" fillId="6" borderId="0" xfId="0" applyFont="1" applyFill="1" applyAlignment="1">
      <alignment horizontal="center" vertical="center"/>
    </xf>
    <xf numFmtId="0" fontId="64" fillId="6" borderId="8" xfId="0" applyFont="1" applyFill="1" applyBorder="1" applyAlignment="1">
      <alignment horizontal="center" vertical="center"/>
    </xf>
    <xf numFmtId="0" fontId="82" fillId="6" borderId="13" xfId="0" applyFont="1" applyFill="1" applyBorder="1" applyAlignment="1">
      <alignment horizontal="center" vertical="center" wrapText="1"/>
    </xf>
    <xf numFmtId="0" fontId="82" fillId="6" borderId="3" xfId="0" applyFont="1" applyFill="1" applyBorder="1" applyAlignment="1">
      <alignment horizontal="center" vertical="center" wrapText="1"/>
    </xf>
    <xf numFmtId="0" fontId="77" fillId="6" borderId="12" xfId="11" applyFont="1" applyFill="1" applyBorder="1" applyAlignment="1">
      <alignment horizontal="center" vertical="center" wrapText="1"/>
    </xf>
    <xf numFmtId="0" fontId="77" fillId="6" borderId="1" xfId="1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/>
    </xf>
    <xf numFmtId="0" fontId="21" fillId="7" borderId="0" xfId="0" applyFont="1" applyFill="1" applyAlignment="1">
      <alignment horizontal="left"/>
    </xf>
    <xf numFmtId="0" fontId="11" fillId="4" borderId="0" xfId="0" applyFont="1" applyFill="1" applyAlignment="1">
      <alignment horizontal="left" wrapText="1" indent="1"/>
    </xf>
    <xf numFmtId="0" fontId="11" fillId="4" borderId="9" xfId="0" applyFont="1" applyFill="1" applyBorder="1" applyAlignment="1">
      <alignment horizontal="left" wrapText="1" indent="1"/>
    </xf>
    <xf numFmtId="0" fontId="37" fillId="5" borderId="10" xfId="0" applyFont="1" applyFill="1" applyBorder="1" applyAlignment="1">
      <alignment vertical="center"/>
    </xf>
    <xf numFmtId="0" fontId="37" fillId="5" borderId="9" xfId="0" applyFont="1" applyFill="1" applyBorder="1" applyAlignment="1">
      <alignment vertical="center"/>
    </xf>
    <xf numFmtId="4" fontId="35" fillId="5" borderId="11" xfId="0" applyNumberFormat="1" applyFont="1" applyFill="1" applyBorder="1" applyAlignment="1">
      <alignment horizontal="center" vertical="center"/>
    </xf>
    <xf numFmtId="0" fontId="33" fillId="8" borderId="0" xfId="0" applyFont="1" applyFill="1" applyAlignment="1">
      <alignment horizontal="center"/>
    </xf>
    <xf numFmtId="0" fontId="32" fillId="8" borderId="0" xfId="0" applyFont="1" applyFill="1" applyAlignment="1">
      <alignment horizontal="center" vertical="center" wrapText="1"/>
    </xf>
    <xf numFmtId="0" fontId="32" fillId="8" borderId="9" xfId="0" applyFont="1" applyFill="1" applyBorder="1" applyAlignment="1">
      <alignment horizontal="center" vertical="center" wrapText="1"/>
    </xf>
    <xf numFmtId="0" fontId="31" fillId="8" borderId="0" xfId="0" applyFont="1" applyFill="1" applyAlignment="1">
      <alignment horizontal="center"/>
    </xf>
    <xf numFmtId="0" fontId="31" fillId="8" borderId="9" xfId="0" applyFont="1" applyFill="1" applyBorder="1" applyAlignment="1">
      <alignment horizontal="center"/>
    </xf>
    <xf numFmtId="0" fontId="28" fillId="14" borderId="23" xfId="0" applyFont="1" applyFill="1" applyBorder="1" applyAlignment="1">
      <alignment horizontal="center" vertical="center"/>
    </xf>
    <xf numFmtId="0" fontId="28" fillId="14" borderId="30" xfId="0" applyFont="1" applyFill="1" applyBorder="1" applyAlignment="1">
      <alignment horizontal="center" vertical="center"/>
    </xf>
    <xf numFmtId="0" fontId="28" fillId="14" borderId="31" xfId="0" applyFont="1" applyFill="1" applyBorder="1" applyAlignment="1">
      <alignment horizontal="center" vertical="center"/>
    </xf>
    <xf numFmtId="0" fontId="28" fillId="14" borderId="2" xfId="0" applyFont="1" applyFill="1" applyBorder="1" applyAlignment="1">
      <alignment horizontal="center" vertical="center"/>
    </xf>
    <xf numFmtId="0" fontId="28" fillId="14" borderId="32" xfId="0" applyFont="1" applyFill="1" applyBorder="1" applyAlignment="1">
      <alignment horizontal="center" vertical="center"/>
    </xf>
    <xf numFmtId="0" fontId="6" fillId="13" borderId="12" xfId="0" applyFont="1" applyFill="1" applyBorder="1" applyAlignment="1">
      <alignment horizontal="center"/>
    </xf>
    <xf numFmtId="0" fontId="6" fillId="13" borderId="20" xfId="0" applyFont="1" applyFill="1" applyBorder="1" applyAlignment="1">
      <alignment horizontal="center"/>
    </xf>
    <xf numFmtId="0" fontId="6" fillId="13" borderId="22" xfId="0" applyFont="1" applyFill="1" applyBorder="1" applyAlignment="1">
      <alignment horizontal="center"/>
    </xf>
    <xf numFmtId="0" fontId="6" fillId="13" borderId="18" xfId="0" applyFont="1" applyFill="1" applyBorder="1" applyAlignment="1">
      <alignment horizontal="center" vertical="center" wrapText="1"/>
    </xf>
    <xf numFmtId="0" fontId="6" fillId="13" borderId="25" xfId="0" applyFont="1" applyFill="1" applyBorder="1" applyAlignment="1">
      <alignment horizontal="center" vertical="center" wrapText="1"/>
    </xf>
    <xf numFmtId="0" fontId="6" fillId="12" borderId="19" xfId="0" applyFont="1" applyFill="1" applyBorder="1" applyAlignment="1">
      <alignment horizontal="center"/>
    </xf>
    <xf numFmtId="0" fontId="6" fillId="12" borderId="12" xfId="0" applyFont="1" applyFill="1" applyBorder="1" applyAlignment="1">
      <alignment horizontal="center"/>
    </xf>
    <xf numFmtId="0" fontId="6" fillId="12" borderId="20" xfId="0" applyFont="1" applyFill="1" applyBorder="1" applyAlignment="1">
      <alignment horizontal="center"/>
    </xf>
    <xf numFmtId="0" fontId="6" fillId="12" borderId="21" xfId="0" applyFont="1" applyFill="1" applyBorder="1" applyAlignment="1">
      <alignment horizontal="center"/>
    </xf>
    <xf numFmtId="0" fontId="6" fillId="12" borderId="22" xfId="0" applyFont="1" applyFill="1" applyBorder="1" applyAlignment="1">
      <alignment horizontal="center"/>
    </xf>
    <xf numFmtId="0" fontId="6" fillId="12" borderId="18" xfId="0" applyFont="1" applyFill="1" applyBorder="1" applyAlignment="1">
      <alignment horizontal="center" vertical="center" wrapText="1"/>
    </xf>
    <xf numFmtId="0" fontId="6" fillId="12" borderId="25" xfId="0" applyFont="1" applyFill="1" applyBorder="1" applyAlignment="1">
      <alignment horizontal="center" vertical="center" wrapText="1"/>
    </xf>
    <xf numFmtId="0" fontId="28" fillId="14" borderId="23" xfId="0" applyFont="1" applyFill="1" applyBorder="1" applyAlignment="1">
      <alignment horizontal="center" vertical="center" wrapText="1"/>
    </xf>
    <xf numFmtId="0" fontId="28" fillId="14" borderId="30" xfId="0" applyFont="1" applyFill="1" applyBorder="1" applyAlignment="1">
      <alignment horizontal="center" vertical="center" wrapText="1"/>
    </xf>
    <xf numFmtId="0" fontId="6" fillId="16" borderId="20" xfId="0" applyFont="1" applyFill="1" applyBorder="1" applyAlignment="1">
      <alignment horizontal="center"/>
    </xf>
    <xf numFmtId="0" fontId="6" fillId="16" borderId="22" xfId="0" applyFont="1" applyFill="1" applyBorder="1" applyAlignment="1">
      <alignment horizontal="center"/>
    </xf>
    <xf numFmtId="0" fontId="54" fillId="16" borderId="18" xfId="0" applyFont="1" applyFill="1" applyBorder="1" applyAlignment="1">
      <alignment horizontal="center" vertical="center" wrapText="1"/>
    </xf>
    <xf numFmtId="0" fontId="54" fillId="16" borderId="25" xfId="0" applyFont="1" applyFill="1" applyBorder="1" applyAlignment="1">
      <alignment horizontal="center" vertical="center" wrapText="1"/>
    </xf>
    <xf numFmtId="0" fontId="6" fillId="16" borderId="12" xfId="0" applyFont="1" applyFill="1" applyBorder="1" applyAlignment="1">
      <alignment horizontal="center"/>
    </xf>
    <xf numFmtId="0" fontId="6" fillId="16" borderId="21" xfId="0" applyFont="1" applyFill="1" applyBorder="1" applyAlignment="1">
      <alignment horizontal="center"/>
    </xf>
    <xf numFmtId="0" fontId="90" fillId="10" borderId="22" xfId="0" applyFont="1" applyFill="1" applyBorder="1" applyAlignment="1">
      <alignment horizontal="center" vertical="center" wrapText="1"/>
    </xf>
    <xf numFmtId="0" fontId="90" fillId="10" borderId="42" xfId="0" applyFont="1" applyFill="1" applyBorder="1" applyAlignment="1">
      <alignment horizontal="center" vertical="center" wrapText="1"/>
    </xf>
    <xf numFmtId="0" fontId="90" fillId="10" borderId="54" xfId="0" applyFont="1" applyFill="1" applyBorder="1" applyAlignment="1">
      <alignment horizontal="center" vertical="center" wrapText="1"/>
    </xf>
    <xf numFmtId="0" fontId="90" fillId="0" borderId="22" xfId="0" applyFont="1" applyBorder="1" applyAlignment="1">
      <alignment horizontal="center" vertical="center" wrapText="1"/>
    </xf>
    <xf numFmtId="0" fontId="90" fillId="0" borderId="54" xfId="0" applyFont="1" applyBorder="1" applyAlignment="1">
      <alignment horizontal="center" vertical="center" wrapText="1"/>
    </xf>
    <xf numFmtId="0" fontId="67" fillId="5" borderId="10" xfId="0" applyFont="1" applyFill="1" applyBorder="1" applyAlignment="1">
      <alignment vertical="center"/>
    </xf>
    <xf numFmtId="0" fontId="67" fillId="5" borderId="9" xfId="0" applyFont="1" applyFill="1" applyBorder="1" applyAlignment="1">
      <alignment vertical="center"/>
    </xf>
    <xf numFmtId="0" fontId="67" fillId="5" borderId="11" xfId="0" applyFont="1" applyFill="1" applyBorder="1" applyAlignment="1">
      <alignment horizontal="left" indent="1"/>
    </xf>
    <xf numFmtId="0" fontId="67" fillId="0" borderId="11" xfId="0" applyFont="1" applyBorder="1" applyAlignment="1">
      <alignment horizontal="left" indent="1"/>
    </xf>
    <xf numFmtId="4" fontId="65" fillId="5" borderId="11" xfId="0" applyNumberFormat="1" applyFont="1" applyFill="1" applyBorder="1" applyAlignment="1">
      <alignment horizontal="center" vertical="center"/>
    </xf>
    <xf numFmtId="0" fontId="64" fillId="8" borderId="0" xfId="0" applyFont="1" applyFill="1" applyAlignment="1">
      <alignment horizontal="right" vertical="center" wrapText="1"/>
    </xf>
    <xf numFmtId="0" fontId="64" fillId="8" borderId="9" xfId="0" applyFont="1" applyFill="1" applyBorder="1" applyAlignment="1">
      <alignment horizontal="right" vertical="center" wrapText="1"/>
    </xf>
    <xf numFmtId="0" fontId="57" fillId="8" borderId="0" xfId="0" applyFont="1" applyFill="1" applyAlignment="1">
      <alignment horizontal="center"/>
    </xf>
    <xf numFmtId="0" fontId="57" fillId="8" borderId="9" xfId="0" applyFont="1" applyFill="1" applyBorder="1" applyAlignment="1">
      <alignment horizontal="center"/>
    </xf>
    <xf numFmtId="0" fontId="62" fillId="8" borderId="0" xfId="0" applyFont="1" applyFill="1" applyAlignment="1">
      <alignment horizontal="center"/>
    </xf>
    <xf numFmtId="0" fontId="74" fillId="21" borderId="0" xfId="0" applyFont="1" applyFill="1" applyAlignment="1">
      <alignment horizontal="left" vertical="center" wrapText="1"/>
    </xf>
    <xf numFmtId="0" fontId="74" fillId="21" borderId="4" xfId="0" applyFont="1" applyFill="1" applyBorder="1" applyAlignment="1">
      <alignment horizontal="left" vertical="center" wrapText="1"/>
    </xf>
    <xf numFmtId="0" fontId="73" fillId="21" borderId="0" xfId="0" applyFont="1" applyFill="1" applyAlignment="1">
      <alignment horizontal="center" vertical="center" wrapText="1"/>
    </xf>
    <xf numFmtId="0" fontId="73" fillId="21" borderId="4" xfId="0" applyFont="1" applyFill="1" applyBorder="1" applyAlignment="1">
      <alignment horizontal="center" vertical="center" wrapText="1"/>
    </xf>
    <xf numFmtId="0" fontId="79" fillId="2" borderId="3" xfId="37" applyFont="1" applyFill="1" applyBorder="1" applyAlignment="1">
      <alignment horizontal="center" vertical="center"/>
    </xf>
    <xf numFmtId="0" fontId="79" fillId="2" borderId="56" xfId="37" applyFont="1" applyFill="1" applyBorder="1" applyAlignment="1">
      <alignment horizontal="center" vertical="center"/>
    </xf>
    <xf numFmtId="0" fontId="79" fillId="2" borderId="59" xfId="37" applyFont="1" applyFill="1" applyBorder="1" applyAlignment="1">
      <alignment horizontal="center" vertical="center"/>
    </xf>
    <xf numFmtId="10" fontId="57" fillId="0" borderId="0" xfId="0" applyNumberFormat="1" applyFont="1"/>
    <xf numFmtId="0" fontId="32" fillId="5" borderId="11" xfId="0" applyFont="1" applyFill="1" applyBorder="1" applyAlignment="1"/>
    <xf numFmtId="0" fontId="35" fillId="5" borderId="11" xfId="0" applyFont="1" applyFill="1" applyBorder="1" applyAlignment="1"/>
    <xf numFmtId="0" fontId="37" fillId="5" borderId="11" xfId="0" applyFont="1" applyFill="1" applyBorder="1" applyAlignment="1"/>
    <xf numFmtId="0" fontId="19" fillId="5" borderId="10" xfId="0" applyFont="1" applyFill="1" applyBorder="1" applyAlignment="1"/>
    <xf numFmtId="0" fontId="18" fillId="5" borderId="9" xfId="0" applyFont="1" applyFill="1" applyBorder="1" applyAlignment="1"/>
    <xf numFmtId="0" fontId="20" fillId="5" borderId="11" xfId="0" applyFont="1" applyFill="1" applyBorder="1" applyAlignment="1"/>
    <xf numFmtId="0" fontId="18" fillId="5" borderId="11" xfId="0" applyFont="1" applyFill="1" applyBorder="1" applyAlignment="1"/>
    <xf numFmtId="0" fontId="14" fillId="5" borderId="11" xfId="0" applyFont="1" applyFill="1" applyBorder="1" applyAlignment="1"/>
    <xf numFmtId="0" fontId="64" fillId="5" borderId="11" xfId="0" applyFont="1" applyFill="1" applyBorder="1" applyAlignment="1"/>
    <xf numFmtId="0" fontId="65" fillId="0" borderId="11" xfId="0" applyFont="1" applyBorder="1" applyAlignment="1"/>
    <xf numFmtId="0" fontId="65" fillId="5" borderId="11" xfId="0" applyFont="1" applyFill="1" applyBorder="1" applyAlignment="1"/>
    <xf numFmtId="0" fontId="67" fillId="5" borderId="11" xfId="0" applyFont="1" applyFill="1" applyBorder="1" applyAlignment="1"/>
  </cellXfs>
  <cellStyles count="44">
    <cellStyle name="?Q\?1@" xfId="1" xr:uid="{00000000-0005-0000-0000-000000000000}"/>
    <cellStyle name="?Q\?1@ 2" xfId="25" xr:uid="{00000000-0005-0000-0000-000001000000}"/>
    <cellStyle name="_Plan1" xfId="26" xr:uid="{00000000-0005-0000-0000-000002000000}"/>
    <cellStyle name="Hiperlink" xfId="43" builtinId="8"/>
    <cellStyle name="Normal" xfId="0" builtinId="0"/>
    <cellStyle name="Normal 2" xfId="2" xr:uid="{00000000-0005-0000-0000-000004000000}"/>
    <cellStyle name="Normal 2 2" xfId="3" xr:uid="{00000000-0005-0000-0000-000005000000}"/>
    <cellStyle name="Normal 3" xfId="11" xr:uid="{00000000-0005-0000-0000-000006000000}"/>
    <cellStyle name="Normal 3 2" xfId="38" xr:uid="{00000000-0005-0000-0000-000007000000}"/>
    <cellStyle name="Normal 3 4" xfId="20" xr:uid="{00000000-0005-0000-0000-000008000000}"/>
    <cellStyle name="Normal 3 4 2" xfId="21" xr:uid="{00000000-0005-0000-0000-000009000000}"/>
    <cellStyle name="Normal 4" xfId="14" xr:uid="{00000000-0005-0000-0000-00000A000000}"/>
    <cellStyle name="Normal 4 2" xfId="32" xr:uid="{00000000-0005-0000-0000-00000B000000}"/>
    <cellStyle name="Normal 48 2" xfId="18" xr:uid="{00000000-0005-0000-0000-00000C000000}"/>
    <cellStyle name="Normal 5" xfId="16" xr:uid="{00000000-0005-0000-0000-00000D000000}"/>
    <cellStyle name="Normal 5 2" xfId="27" xr:uid="{00000000-0005-0000-0000-00000E000000}"/>
    <cellStyle name="Normal 5 3" xfId="33" xr:uid="{00000000-0005-0000-0000-00000F000000}"/>
    <cellStyle name="Normal 50" xfId="22" xr:uid="{00000000-0005-0000-0000-000010000000}"/>
    <cellStyle name="Normal 50 2" xfId="23" xr:uid="{00000000-0005-0000-0000-000011000000}"/>
    <cellStyle name="Normal 6" xfId="9" xr:uid="{00000000-0005-0000-0000-000012000000}"/>
    <cellStyle name="Normal 7" xfId="28" xr:uid="{00000000-0005-0000-0000-000013000000}"/>
    <cellStyle name="Normal 8" xfId="39" xr:uid="{00000000-0005-0000-0000-000014000000}"/>
    <cellStyle name="Normal 9" xfId="42" xr:uid="{00000000-0005-0000-0000-000015000000}"/>
    <cellStyle name="Normal_Oferta e Consumo" xfId="37" xr:uid="{00000000-0005-0000-0000-000016000000}"/>
    <cellStyle name="Normal_Oferta e Consumo 2" xfId="41" xr:uid="{00000000-0005-0000-0000-000017000000}"/>
    <cellStyle name="Normal_Plan1" xfId="4" xr:uid="{00000000-0005-0000-0000-000018000000}"/>
    <cellStyle name="Porcentagem" xfId="5" builtinId="5"/>
    <cellStyle name="Porcentagem 2" xfId="6" xr:uid="{00000000-0005-0000-0000-00001A000000}"/>
    <cellStyle name="Porcentagem 3" xfId="13" xr:uid="{00000000-0005-0000-0000-00001B000000}"/>
    <cellStyle name="Porcentagem 4" xfId="15" xr:uid="{00000000-0005-0000-0000-00001C000000}"/>
    <cellStyle name="Porcentagem 5" xfId="40" xr:uid="{00000000-0005-0000-0000-00001D000000}"/>
    <cellStyle name="Separador de milhares 2" xfId="7" xr:uid="{00000000-0005-0000-0000-00001E000000}"/>
    <cellStyle name="Separador de milhares 3" xfId="8" xr:uid="{00000000-0005-0000-0000-00001F000000}"/>
    <cellStyle name="Separador de milhares 4" xfId="10" xr:uid="{00000000-0005-0000-0000-000020000000}"/>
    <cellStyle name="Separador de milhares 5" xfId="12" xr:uid="{00000000-0005-0000-0000-000021000000}"/>
    <cellStyle name="Título 1 2" xfId="29" xr:uid="{00000000-0005-0000-0000-000022000000}"/>
    <cellStyle name="Título 2 2" xfId="30" xr:uid="{00000000-0005-0000-0000-000023000000}"/>
    <cellStyle name="Título 3 2" xfId="31" xr:uid="{00000000-0005-0000-0000-000024000000}"/>
    <cellStyle name="Vírgula 2" xfId="19" xr:uid="{00000000-0005-0000-0000-000026000000}"/>
    <cellStyle name="Vírgula 2 2" xfId="34" xr:uid="{00000000-0005-0000-0000-000027000000}"/>
    <cellStyle name="Vírgula 3" xfId="24" xr:uid="{00000000-0005-0000-0000-000028000000}"/>
    <cellStyle name="Vírgula 4" xfId="17" xr:uid="{00000000-0005-0000-0000-000029000000}"/>
    <cellStyle name="Vírgula 4 2" xfId="35" xr:uid="{00000000-0005-0000-0000-00002A000000}"/>
    <cellStyle name="Vírgula 5" xfId="36" xr:uid="{00000000-0005-0000-0000-00002B000000}"/>
  </cellStyles>
  <dxfs count="0"/>
  <tableStyles count="0" defaultTableStyle="TableStyleMedium9" defaultPivotStyle="PivotStyleLight16"/>
  <colors>
    <mruColors>
      <color rgb="FF00678E"/>
      <color rgb="FF77933C"/>
      <color rgb="FFF19759"/>
      <color rgb="FFFFD966"/>
      <color rgb="FF13475D"/>
      <color rgb="FF13933C"/>
      <color rgb="FF1A60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7"/>
          <c:order val="0"/>
          <c:tx>
            <c:strRef>
              <c:f>'G11-1'!$A$13</c:f>
              <c:strCache>
                <c:ptCount val="1"/>
                <c:pt idx="0">
                  <c:v>Brasil (2031)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7777777777777267E-3"/>
                  <c:y val="-8.487556272013328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C0-4FD2-91DF-009A210A44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'G11-1'!$B$13</c:f>
              <c:numCache>
                <c:formatCode>0.00</c:formatCode>
                <c:ptCount val="1"/>
                <c:pt idx="0">
                  <c:v>1.6986210431043303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C0-4FD2-91DF-009A210A44D2}"/>
            </c:ext>
          </c:extLst>
        </c:ser>
        <c:ser>
          <c:idx val="6"/>
          <c:order val="1"/>
          <c:tx>
            <c:strRef>
              <c:f>'G11-1'!$A$12</c:f>
              <c:strCache>
                <c:ptCount val="1"/>
                <c:pt idx="0">
                  <c:v>Brasil (2026)</c:v>
                </c:pt>
              </c:strCache>
            </c:strRef>
          </c:tx>
          <c:spPr>
            <a:solidFill>
              <a:srgbClr val="00678E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'G11-1'!$B$12</c:f>
              <c:numCache>
                <c:formatCode>0.00</c:formatCode>
                <c:ptCount val="1"/>
                <c:pt idx="0">
                  <c:v>1.5211330941386658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C0-4FD2-91DF-009A210A44D2}"/>
            </c:ext>
          </c:extLst>
        </c:ser>
        <c:ser>
          <c:idx val="5"/>
          <c:order val="2"/>
          <c:tx>
            <c:strRef>
              <c:f>'G11-1'!$A$11</c:f>
              <c:strCache>
                <c:ptCount val="1"/>
                <c:pt idx="0">
                  <c:v>Brasil (2021)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8.333333333333359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C0-4FD2-91DF-009A210A44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'G11-1'!$B$11</c:f>
              <c:numCache>
                <c:formatCode>0.00</c:formatCode>
                <c:ptCount val="1"/>
                <c:pt idx="0">
                  <c:v>1.3780984521792761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BC0-4FD2-91DF-009A210A44D2}"/>
            </c:ext>
          </c:extLst>
        </c:ser>
        <c:ser>
          <c:idx val="0"/>
          <c:order val="3"/>
          <c:tx>
            <c:strRef>
              <c:f>'G11-1'!$A$6</c:f>
              <c:strCache>
                <c:ptCount val="1"/>
                <c:pt idx="0">
                  <c:v>Mundo (2019)</c:v>
                </c:pt>
              </c:strCache>
            </c:strRef>
          </c:tx>
          <c:spPr>
            <a:solidFill>
              <a:srgbClr val="00678E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'G11-1'!$B$6</c:f>
              <c:numCache>
                <c:formatCode>0.00</c:formatCode>
                <c:ptCount val="1"/>
                <c:pt idx="0">
                  <c:v>1.8889079999999998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BC0-4FD2-91DF-009A210A44D2}"/>
            </c:ext>
          </c:extLst>
        </c:ser>
        <c:ser>
          <c:idx val="1"/>
          <c:order val="4"/>
          <c:tx>
            <c:strRef>
              <c:f>'G11-1'!$A$7</c:f>
              <c:strCache>
                <c:ptCount val="1"/>
                <c:pt idx="0">
                  <c:v>China (2019)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'G11-1'!$B$7</c:f>
              <c:numCache>
                <c:formatCode>0.00</c:formatCode>
                <c:ptCount val="1"/>
                <c:pt idx="0">
                  <c:v>2.419044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BC0-4FD2-91DF-009A210A44D2}"/>
            </c:ext>
          </c:extLst>
        </c:ser>
        <c:ser>
          <c:idx val="3"/>
          <c:order val="5"/>
          <c:tx>
            <c:strRef>
              <c:f>'G11-1'!$A$9</c:f>
              <c:strCache>
                <c:ptCount val="1"/>
                <c:pt idx="0">
                  <c:v>União Europeia (2019)</c:v>
                </c:pt>
              </c:strCache>
            </c:strRef>
          </c:tx>
          <c:spPr>
            <a:solidFill>
              <a:srgbClr val="00678E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'G11-1'!$B$9</c:f>
              <c:numCache>
                <c:formatCode>0.00</c:formatCode>
                <c:ptCount val="1"/>
                <c:pt idx="0">
                  <c:v>3.0590279999999996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C0-4FD2-91DF-009A210A44D2}"/>
            </c:ext>
          </c:extLst>
        </c:ser>
        <c:ser>
          <c:idx val="4"/>
          <c:order val="6"/>
          <c:tx>
            <c:strRef>
              <c:f>'G11-1'!$A$10</c:f>
              <c:strCache>
                <c:ptCount val="1"/>
                <c:pt idx="0">
                  <c:v>Países OCDE (2019)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'G11-1'!$B$10</c:f>
              <c:numCache>
                <c:formatCode>0.00</c:formatCode>
                <c:ptCount val="1"/>
                <c:pt idx="0">
                  <c:v>3.68946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BC0-4FD2-91DF-009A210A44D2}"/>
            </c:ext>
          </c:extLst>
        </c:ser>
        <c:ser>
          <c:idx val="2"/>
          <c:order val="7"/>
          <c:tx>
            <c:strRef>
              <c:f>'G11-1'!$A$8</c:f>
              <c:strCache>
                <c:ptCount val="1"/>
                <c:pt idx="0">
                  <c:v>EUA (2019)</c:v>
                </c:pt>
              </c:strCache>
            </c:strRef>
          </c:tx>
          <c:spPr>
            <a:solidFill>
              <a:srgbClr val="00678E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'G11-1'!$B$8</c:f>
              <c:numCache>
                <c:formatCode>0.00</c:formatCode>
                <c:ptCount val="1"/>
                <c:pt idx="0">
                  <c:v>6.1586519999999982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BC0-4FD2-91DF-009A210A4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137939088"/>
        <c:axId val="-1140952768"/>
      </c:barChart>
      <c:catAx>
        <c:axId val="-113793908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-1140952768"/>
        <c:crosses val="autoZero"/>
        <c:auto val="1"/>
        <c:lblAlgn val="ctr"/>
        <c:lblOffset val="100"/>
        <c:noMultiLvlLbl val="0"/>
      </c:catAx>
      <c:valAx>
        <c:axId val="-1140952768"/>
        <c:scaling>
          <c:orientation val="minMax"/>
          <c:max val="7"/>
        </c:scaling>
        <c:delete val="0"/>
        <c:axPos val="b"/>
        <c:numFmt formatCode="0.00" sourceLinked="0"/>
        <c:majorTickMark val="cross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37939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'G11-2'!$A$6</c:f>
              <c:strCache>
                <c:ptCount val="1"/>
                <c:pt idx="0">
                  <c:v>Energia Renovável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600" b="1" i="0" u="none" strike="noStrike" baseline="0">
                    <a:solidFill>
                      <a:srgbClr val="FFFFFF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'G11-2'!$B$5:$K$5</c:f>
              <c:numCache>
                <c:formatCode>General</c:formatCode>
                <c:ptCount val="3"/>
                <c:pt idx="0">
                  <c:v>2031</c:v>
                </c:pt>
                <c:pt idx="1">
                  <c:v>2026</c:v>
                </c:pt>
                <c:pt idx="2">
                  <c:v>2021</c:v>
                </c:pt>
              </c:numCache>
            </c:numRef>
          </c:cat>
          <c:val>
            <c:numRef>
              <c:f>'G11-2'!$B$6:$M$6</c:f>
              <c:numCache>
                <c:formatCode>0.00</c:formatCode>
                <c:ptCount val="3"/>
                <c:pt idx="0">
                  <c:v>0.47867795519218753</c:v>
                </c:pt>
                <c:pt idx="1">
                  <c:v>0.49987841067109406</c:v>
                </c:pt>
                <c:pt idx="2">
                  <c:v>0.46981471037963657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85-44BB-924D-3631A5ADA058}"/>
            </c:ext>
          </c:extLst>
        </c:ser>
        <c:ser>
          <c:idx val="1"/>
          <c:order val="1"/>
          <c:tx>
            <c:strRef>
              <c:f>'G11-2'!$A$7</c:f>
              <c:strCache>
                <c:ptCount val="1"/>
                <c:pt idx="0">
                  <c:v>Energia Não Renovável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dLbls>
            <c:dLbl>
              <c:idx val="3"/>
              <c:tx>
                <c:rich>
                  <a:bodyPr/>
                  <a:lstStyle/>
                  <a:p>
                    <a:r>
                      <a:rPr lang="en-US" sz="1550"/>
                      <a:t>54</a:t>
                    </a:r>
                    <a:endParaRPr lang="en-US" sz="16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B85-44BB-924D-3631A5ADA058}"/>
                </c:ext>
              </c:extLst>
            </c:dLbl>
            <c:spPr>
              <a:solidFill>
                <a:schemeClr val="bg1">
                  <a:lumMod val="6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550" b="1" i="0" u="none" strike="noStrik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'G11-2'!$B$5:$K$5</c:f>
              <c:numCache>
                <c:formatCode>General</c:formatCode>
                <c:ptCount val="3"/>
                <c:pt idx="0">
                  <c:v>2031</c:v>
                </c:pt>
                <c:pt idx="1">
                  <c:v>2026</c:v>
                </c:pt>
                <c:pt idx="2">
                  <c:v>2021</c:v>
                </c:pt>
              </c:numCache>
            </c:numRef>
          </c:cat>
          <c:val>
            <c:numRef>
              <c:f>'G11-2'!$B$7:$M$7</c:f>
              <c:numCache>
                <c:formatCode>0.00</c:formatCode>
                <c:ptCount val="3"/>
                <c:pt idx="0">
                  <c:v>0.52132204480781241</c:v>
                </c:pt>
                <c:pt idx="1">
                  <c:v>0.50012158932890582</c:v>
                </c:pt>
                <c:pt idx="2">
                  <c:v>0.5301852896203636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85-44BB-924D-3631A5ADA0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-792460496"/>
        <c:axId val="-792459408"/>
      </c:barChart>
      <c:catAx>
        <c:axId val="-792460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-792459408"/>
        <c:crosses val="autoZero"/>
        <c:auto val="1"/>
        <c:lblAlgn val="ctr"/>
        <c:lblOffset val="100"/>
        <c:noMultiLvlLbl val="0"/>
      </c:catAx>
      <c:valAx>
        <c:axId val="-79245940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-7924604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61996359944058088"/>
          <c:y val="0.81482623950356725"/>
          <c:w val="0.34963465333256699"/>
          <c:h val="0.154785291013881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8740157499999996" l="0.511811024" r="0.511811024" t="0.78740157499999996" header="0.31496062000000213" footer="0.31496062000000213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0" i="0" u="none" strike="noStrike" baseline="0">
                <a:solidFill>
                  <a:schemeClr val="tx1">
                    <a:lumMod val="50000"/>
                    <a:lumOff val="50000"/>
                  </a:schemeClr>
                </a:solidFill>
                <a:latin typeface="Calibri"/>
                <a:ea typeface="Calibri"/>
                <a:cs typeface="Calibri"/>
              </a:defRPr>
            </a:pPr>
            <a:r>
              <a:rPr lang="pt-BR" sz="1800" b="0">
                <a:solidFill>
                  <a:schemeClr val="tx1">
                    <a:lumMod val="50000"/>
                    <a:lumOff val="50000"/>
                  </a:schemeClr>
                </a:solidFill>
              </a:rPr>
              <a:t>2021</a:t>
            </a:r>
          </a:p>
        </c:rich>
      </c:tx>
      <c:layout>
        <c:manualLayout>
          <c:xMode val="edge"/>
          <c:yMode val="edge"/>
          <c:x val="0.42523153083163201"/>
          <c:y val="0.42613648293963252"/>
        </c:manualLayout>
      </c:layout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44138105476163"/>
          <c:y val="0.10693077427821522"/>
          <c:w val="0.82109992953802236"/>
          <c:h val="0.74552263779527561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7C36-4B62-8C01-58F952C742FB}"/>
              </c:ext>
            </c:extLst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7C36-4B62-8C01-58F952C742FB}"/>
              </c:ext>
            </c:extLst>
          </c:dPt>
          <c:dPt>
            <c:idx val="2"/>
            <c:bubble3D val="0"/>
            <c:spPr>
              <a:solidFill>
                <a:srgbClr val="FFD966"/>
              </a:solidFill>
            </c:spPr>
            <c:extLst>
              <c:ext xmlns:c16="http://schemas.microsoft.com/office/drawing/2014/chart" uri="{C3380CC4-5D6E-409C-BE32-E72D297353CC}">
                <c16:uniqueId val="{00000005-7C36-4B62-8C01-58F952C742FB}"/>
              </c:ext>
            </c:extLst>
          </c:dPt>
          <c:dPt>
            <c:idx val="3"/>
            <c:bubble3D val="0"/>
            <c:spPr>
              <a:solidFill>
                <a:srgbClr val="F19759"/>
              </a:solidFill>
            </c:spPr>
            <c:extLst>
              <c:ext xmlns:c16="http://schemas.microsoft.com/office/drawing/2014/chart" uri="{C3380CC4-5D6E-409C-BE32-E72D297353CC}">
                <c16:uniqueId val="{00000007-7C36-4B62-8C01-58F952C742FB}"/>
              </c:ext>
            </c:extLst>
          </c:dPt>
          <c:dPt>
            <c:idx val="4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7C36-4B62-8C01-58F952C742FB}"/>
              </c:ext>
            </c:extLst>
          </c:dPt>
          <c:dPt>
            <c:idx val="5"/>
            <c:bubble3D val="0"/>
            <c:spPr>
              <a:solidFill>
                <a:schemeClr val="bg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7C36-4B62-8C01-58F952C742FB}"/>
              </c:ext>
            </c:extLst>
          </c:dPt>
          <c:dPt>
            <c:idx val="6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7C36-4B62-8C01-58F952C742FB}"/>
              </c:ext>
            </c:extLst>
          </c:dPt>
          <c:dPt>
            <c:idx val="7"/>
            <c:bubble3D val="0"/>
            <c:spPr>
              <a:solidFill>
                <a:srgbClr val="13475D"/>
              </a:solidFill>
            </c:spPr>
            <c:extLst>
              <c:ext xmlns:c16="http://schemas.microsoft.com/office/drawing/2014/chart" uri="{C3380CC4-5D6E-409C-BE32-E72D297353CC}">
                <c16:uniqueId val="{0000000F-7C36-4B62-8C01-58F952C742FB}"/>
              </c:ext>
            </c:extLst>
          </c:dPt>
          <c:dPt>
            <c:idx val="8"/>
            <c:bubble3D val="0"/>
            <c:spPr>
              <a:solidFill>
                <a:srgbClr val="00678E"/>
              </a:solidFill>
            </c:spPr>
            <c:extLst>
              <c:ext xmlns:c16="http://schemas.microsoft.com/office/drawing/2014/chart" uri="{C3380CC4-5D6E-409C-BE32-E72D297353CC}">
                <c16:uniqueId val="{00000011-7C36-4B62-8C01-58F952C742FB}"/>
              </c:ext>
            </c:extLst>
          </c:dPt>
          <c:dLbls>
            <c:dLbl>
              <c:idx val="0"/>
              <c:layout>
                <c:manualLayout>
                  <c:x val="-2.3304116314977297E-2"/>
                  <c:y val="-3.74307742782152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36-4B62-8C01-58F952C742FB}"/>
                </c:ext>
              </c:extLst>
            </c:dLbl>
            <c:dLbl>
              <c:idx val="2"/>
              <c:layout>
                <c:manualLayout>
                  <c:x val="-6.4268527247637744E-3"/>
                  <c:y val="7.808398950131233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C36-4B62-8C01-58F952C742FB}"/>
                </c:ext>
              </c:extLst>
            </c:dLbl>
            <c:dLbl>
              <c:idx val="3"/>
              <c:layout>
                <c:manualLayout>
                  <c:x val="-2.3537182772161096E-2"/>
                  <c:y val="0.1620059055118110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F19759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C36-4B62-8C01-58F952C742FB}"/>
                </c:ext>
              </c:extLst>
            </c:dLbl>
            <c:dLbl>
              <c:idx val="4"/>
              <c:layout>
                <c:manualLayout>
                  <c:x val="-0.12390463281915384"/>
                  <c:y val="0.14166666666666666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chemeClr val="accent2">
                          <a:lumMod val="75000"/>
                        </a:schemeClr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C36-4B62-8C01-58F952C742FB}"/>
                </c:ext>
              </c:extLst>
            </c:dLbl>
            <c:dLbl>
              <c:idx val="7"/>
              <c:layout>
                <c:manualLayout>
                  <c:x val="-4.2074819030219713E-3"/>
                  <c:y val="1.20308398950131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C36-4B62-8C01-58F952C742FB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chemeClr val="bg1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('G11-3'!$A$8:$A$12,'G11-3'!$A$14:$A$17)</c:f>
              <c:strCache>
                <c:ptCount val="9"/>
                <c:pt idx="0">
                  <c:v>       Petróleo e Derivados </c:v>
                </c:pt>
                <c:pt idx="1">
                  <c:v>       Gás Natural </c:v>
                </c:pt>
                <c:pt idx="2">
                  <c:v>       Carvão Mineral e Derivados</c:v>
                </c:pt>
                <c:pt idx="3">
                  <c:v>       Urânio (U3O8) e Derivados</c:v>
                </c:pt>
                <c:pt idx="4">
                  <c:v>       Outras Não Renováveis</c:v>
                </c:pt>
                <c:pt idx="5">
                  <c:v>       Hidráulica e Eletricidade </c:v>
                </c:pt>
                <c:pt idx="6">
                  <c:v>       Lenha e Carvão Vegetal </c:v>
                </c:pt>
                <c:pt idx="7">
                  <c:v>       Produtos da Cana-de-Açúcar</c:v>
                </c:pt>
                <c:pt idx="8">
                  <c:v>       Outras Renováveis</c:v>
                </c:pt>
              </c:strCache>
            </c:strRef>
          </c:cat>
          <c:val>
            <c:numRef>
              <c:f>('G11-3'!$W$8:$W$12,'G11-3'!$W$14:$W$17)</c:f>
              <c:numCache>
                <c:formatCode>0</c:formatCode>
                <c:ptCount val="9"/>
                <c:pt idx="0">
                  <c:v>33.926985612231363</c:v>
                </c:pt>
                <c:pt idx="1">
                  <c:v>12.224149790588738</c:v>
                </c:pt>
                <c:pt idx="2">
                  <c:v>5.2466299518972965</c:v>
                </c:pt>
                <c:pt idx="3">
                  <c:v>1.2817972177665407</c:v>
                </c:pt>
                <c:pt idx="4">
                  <c:v>0.33896638955242581</c:v>
                </c:pt>
                <c:pt idx="5">
                  <c:v>12.237274976352195</c:v>
                </c:pt>
                <c:pt idx="6">
                  <c:v>8.885365672456679</c:v>
                </c:pt>
                <c:pt idx="7">
                  <c:v>17.505777374990352</c:v>
                </c:pt>
                <c:pt idx="8">
                  <c:v>8.353053014164427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7C36-4B62-8C01-58F952C742FB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4-7C36-4B62-8C01-58F952C742FB}"/>
              </c:ext>
            </c:extLst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6-7C36-4B62-8C01-58F952C742FB}"/>
              </c:ext>
            </c:extLst>
          </c:dPt>
          <c:dPt>
            <c:idx val="2"/>
            <c:bubble3D val="0"/>
            <c:spPr>
              <a:solidFill>
                <a:srgbClr val="FFD966"/>
              </a:solidFill>
            </c:spPr>
            <c:extLst>
              <c:ext xmlns:c16="http://schemas.microsoft.com/office/drawing/2014/chart" uri="{C3380CC4-5D6E-409C-BE32-E72D297353CC}">
                <c16:uniqueId val="{00000018-7C36-4B62-8C01-58F952C742FB}"/>
              </c:ext>
            </c:extLst>
          </c:dPt>
          <c:dPt>
            <c:idx val="3"/>
            <c:bubble3D val="0"/>
            <c:spPr>
              <a:solidFill>
                <a:srgbClr val="F19759"/>
              </a:solidFill>
            </c:spPr>
            <c:extLst>
              <c:ext xmlns:c16="http://schemas.microsoft.com/office/drawing/2014/chart" uri="{C3380CC4-5D6E-409C-BE32-E72D297353CC}">
                <c16:uniqueId val="{0000001A-7C36-4B62-8C01-58F952C742FB}"/>
              </c:ext>
            </c:extLst>
          </c:dPt>
          <c:dPt>
            <c:idx val="4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C-7C36-4B62-8C01-58F952C742FB}"/>
              </c:ext>
            </c:extLst>
          </c:dPt>
          <c:dPt>
            <c:idx val="5"/>
            <c:bubble3D val="0"/>
            <c:spPr>
              <a:solidFill>
                <a:schemeClr val="bg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E-7C36-4B62-8C01-58F952C742FB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0-7C36-4B62-8C01-58F952C742FB}"/>
              </c:ext>
            </c:extLst>
          </c:dPt>
          <c:dPt>
            <c:idx val="7"/>
            <c:bubble3D val="0"/>
            <c:spPr>
              <a:solidFill>
                <a:srgbClr val="13475D"/>
              </a:solidFill>
            </c:spPr>
            <c:extLst>
              <c:ext xmlns:c16="http://schemas.microsoft.com/office/drawing/2014/chart" uri="{C3380CC4-5D6E-409C-BE32-E72D297353CC}">
                <c16:uniqueId val="{00000022-7C36-4B62-8C01-58F952C742FB}"/>
              </c:ext>
            </c:extLst>
          </c:dPt>
          <c:dPt>
            <c:idx val="8"/>
            <c:bubble3D val="0"/>
            <c:spPr>
              <a:solidFill>
                <a:srgbClr val="00678E"/>
              </a:solidFill>
            </c:spPr>
            <c:extLst>
              <c:ext xmlns:c16="http://schemas.microsoft.com/office/drawing/2014/chart" uri="{C3380CC4-5D6E-409C-BE32-E72D297353CC}">
                <c16:uniqueId val="{00000024-7C36-4B62-8C01-58F952C742FB}"/>
              </c:ext>
            </c:extLst>
          </c:dPt>
          <c:dLbls>
            <c:dLbl>
              <c:idx val="0"/>
              <c:layout>
                <c:manualLayout>
                  <c:x val="-4.3491504879837148E-2"/>
                  <c:y val="-4.3328740157480318E-2"/>
                </c:manualLayout>
              </c:layout>
              <c:tx>
                <c:rich>
                  <a:bodyPr/>
                  <a:lstStyle/>
                  <a:p>
                    <a:fld id="{B2E434A3-64A2-432C-80AD-0F1C1A799A6A}" type="VALUE">
                      <a:rPr lang="en-US"/>
                      <a:pPr/>
                      <a:t>[]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4-7C36-4B62-8C01-58F952C742F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14152D5-82F0-4419-A5B4-88A4D5B7F4D8}" type="VALUE">
                      <a:rPr lang="en-US"/>
                      <a:pPr/>
                      <a:t>[]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6-7C36-4B62-8C01-58F952C742F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B76F509-3303-4CFF-886A-A77A08DE6C76}" type="VALUE">
                      <a:rPr lang="en-US"/>
                      <a:pPr/>
                      <a:t>[]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8-7C36-4B62-8C01-58F952C742FB}"/>
                </c:ext>
              </c:extLst>
            </c:dLbl>
            <c:dLbl>
              <c:idx val="3"/>
              <c:layout>
                <c:manualLayout>
                  <c:x val="4.5890621330105328E-3"/>
                  <c:y val="0.16250000000000001"/>
                </c:manualLayout>
              </c:layout>
              <c:tx>
                <c:rich>
                  <a:bodyPr wrap="square" lIns="38100" tIns="19050" rIns="38100" bIns="19050" anchor="ctr" anchorCtr="0">
                    <a:spAutoFit/>
                  </a:bodyPr>
                  <a:lstStyle/>
                  <a:p>
                    <a:pPr algn="ctr">
                      <a:defRPr lang="pt-BR" sz="1400" b="1" i="0" u="none" strike="noStrike" kern="1200" baseline="0">
                        <a:solidFill>
                          <a:srgbClr val="F19759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fld id="{E00D8384-0AFD-4E85-832D-6E9EAE2F55A4}" type="VALUE">
                      <a:rPr lang="en-US">
                        <a:solidFill>
                          <a:srgbClr val="F19759"/>
                        </a:solidFill>
                      </a:rPr>
                      <a:pPr algn="ctr">
                        <a:defRPr lang="pt-BR" sz="1400" b="1" i="0" u="none" strike="noStrike" kern="1200" baseline="0">
                          <a:solidFill>
                            <a:srgbClr val="F19759"/>
                          </a:solidFill>
                          <a:latin typeface="Calibri"/>
                          <a:ea typeface="Calibri"/>
                          <a:cs typeface="Calibri"/>
                        </a:defRPr>
                      </a:pPr>
                      <a:t>[]</a:t>
                    </a:fld>
                    <a:r>
                      <a:rPr lang="en-US">
                        <a:solidFill>
                          <a:srgbClr val="F19759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A-7C36-4B62-8C01-58F952C742FB}"/>
                </c:ext>
              </c:extLst>
            </c:dLbl>
            <c:dLbl>
              <c:idx val="4"/>
              <c:layout>
                <c:manualLayout>
                  <c:x val="-8.7192180527200167E-2"/>
                  <c:y val="0.14166666666666666"/>
                </c:manualLayout>
              </c:layout>
              <c:tx>
                <c:rich>
                  <a:bodyPr wrap="square" lIns="38100" tIns="19050" rIns="38100" bIns="19050" anchor="ctr" anchorCtr="0">
                    <a:spAutoFit/>
                  </a:bodyPr>
                  <a:lstStyle/>
                  <a:p>
                    <a:pPr algn="ctr">
                      <a:defRPr lang="pt-BR" sz="1400" b="1" i="0" u="none" strike="noStrike" kern="1200" baseline="0">
                        <a:solidFill>
                          <a:schemeClr val="accent2">
                            <a:lumMod val="75000"/>
                          </a:schemeClr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fld id="{F0FA90EE-B7AF-42F6-8CD2-793BF7C4AFA3}" type="VALUE">
                      <a:rPr lang="en-US">
                        <a:solidFill>
                          <a:schemeClr val="accent2">
                            <a:lumMod val="75000"/>
                          </a:schemeClr>
                        </a:solidFill>
                      </a:rPr>
                      <a:pPr algn="ctr">
                        <a:defRPr lang="pt-BR" sz="1400" b="1" i="0" u="none" strike="noStrike" kern="1200" baseline="0">
                          <a:solidFill>
                            <a:schemeClr val="accent2">
                              <a:lumMod val="75000"/>
                            </a:schemeClr>
                          </a:solidFill>
                          <a:latin typeface="Calibri"/>
                          <a:ea typeface="Calibri"/>
                          <a:cs typeface="Calibri"/>
                        </a:defRPr>
                      </a:pPr>
                      <a:t>[]</a:t>
                    </a:fld>
                    <a:r>
                      <a:rPr lang="en-US">
                        <a:solidFill>
                          <a:schemeClr val="accent2">
                            <a:lumMod val="75000"/>
                          </a:schemeClr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C-7C36-4B62-8C01-58F952C742F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B3BF560-B51B-4337-B9DC-43A1C3329D18}" type="VALUE">
                      <a:rPr lang="en-US"/>
                      <a:pPr/>
                      <a:t>[]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E-7C36-4B62-8C01-58F952C742F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E2A8DAD-0B7F-4394-8B0B-2C9FE5DA41DA}" type="VALUE">
                      <a:rPr lang="en-US"/>
                      <a:pPr/>
                      <a:t>[]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0-7C36-4B62-8C01-58F952C742F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C909CD0-5951-45D1-AC19-522CC8A384CE}" type="VALUE">
                      <a:rPr lang="en-US"/>
                      <a:pPr/>
                      <a:t>[]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2-7C36-4B62-8C01-58F952C742F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1D9C34E-4C10-4024-988C-20683286263D}" type="VALUE">
                      <a:rPr lang="en-US"/>
                      <a:pPr/>
                      <a:t>[]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4-7C36-4B62-8C01-58F952C742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400" b="1" i="0" u="none" strike="noStrike" kern="1200" baseline="0">
                    <a:solidFill>
                      <a:schemeClr val="bg1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('G11-3'!$A$8:$A$12,'G11-3'!$A$14:$A$17)</c:f>
              <c:strCache>
                <c:ptCount val="9"/>
                <c:pt idx="0">
                  <c:v>       Petróleo e Derivados </c:v>
                </c:pt>
                <c:pt idx="1">
                  <c:v>       Gás Natural </c:v>
                </c:pt>
                <c:pt idx="2">
                  <c:v>       Carvão Mineral e Derivados</c:v>
                </c:pt>
                <c:pt idx="3">
                  <c:v>       Urânio (U3O8) e Derivados</c:v>
                </c:pt>
                <c:pt idx="4">
                  <c:v>       Outras Não Renováveis</c:v>
                </c:pt>
                <c:pt idx="5">
                  <c:v>       Hidráulica e Eletricidade </c:v>
                </c:pt>
                <c:pt idx="6">
                  <c:v>       Lenha e Carvão Vegetal </c:v>
                </c:pt>
                <c:pt idx="7">
                  <c:v>       Produtos da Cana-de-Açúcar</c:v>
                </c:pt>
                <c:pt idx="8">
                  <c:v>       Outras Renováveis</c:v>
                </c:pt>
              </c:strCache>
            </c:strRef>
          </c:cat>
          <c:val>
            <c:numRef>
              <c:f>('T11-2'!$Y$7:$Y$11,'T11-2'!$Y$13:$Y$16)</c:f>
            </c:numRef>
          </c:val>
          <c:extLst>
            <c:ext xmlns:c16="http://schemas.microsoft.com/office/drawing/2014/chart" uri="{C3380CC4-5D6E-409C-BE32-E72D297353CC}">
              <c16:uniqueId val="{00000025-7C36-4B62-8C01-58F952C742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8740157499999996" l="0.511811024" r="0.511811024" t="0.78740157499999996" header="0.31496062000000247" footer="0.3149606200000024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0" i="0" u="none" strike="noStrike" baseline="0">
                <a:solidFill>
                  <a:schemeClr val="tx1">
                    <a:lumMod val="50000"/>
                    <a:lumOff val="50000"/>
                  </a:schemeClr>
                </a:solidFill>
                <a:latin typeface="Calibri"/>
                <a:ea typeface="Calibri"/>
                <a:cs typeface="Calibri"/>
              </a:defRPr>
            </a:pPr>
            <a:r>
              <a:rPr lang="pt-BR" b="0">
                <a:solidFill>
                  <a:schemeClr val="tx1">
                    <a:lumMod val="50000"/>
                    <a:lumOff val="50000"/>
                  </a:schemeClr>
                </a:solidFill>
              </a:rPr>
              <a:t>2031</a:t>
            </a:r>
          </a:p>
        </c:rich>
      </c:tx>
      <c:layout>
        <c:manualLayout>
          <c:xMode val="edge"/>
          <c:yMode val="edge"/>
          <c:x val="0.640313277662381"/>
          <c:y val="0.42613648293963252"/>
        </c:manualLayout>
      </c:layout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6960517502414939"/>
          <c:y val="5.7618110236220474E-2"/>
          <c:w val="0.44693866889200734"/>
          <c:h val="0.84764206036745404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CCB6-4055-B564-829B0CFAAD17}"/>
              </c:ext>
            </c:extLst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CB6-4055-B564-829B0CFAAD17}"/>
              </c:ext>
            </c:extLst>
          </c:dPt>
          <c:dPt>
            <c:idx val="2"/>
            <c:bubble3D val="0"/>
            <c:spPr>
              <a:solidFill>
                <a:srgbClr val="FFD966"/>
              </a:solidFill>
            </c:spPr>
            <c:extLst>
              <c:ext xmlns:c16="http://schemas.microsoft.com/office/drawing/2014/chart" uri="{C3380CC4-5D6E-409C-BE32-E72D297353CC}">
                <c16:uniqueId val="{00000005-CCB6-4055-B564-829B0CFAAD17}"/>
              </c:ext>
            </c:extLst>
          </c:dPt>
          <c:dPt>
            <c:idx val="3"/>
            <c:bubble3D val="0"/>
            <c:spPr>
              <a:solidFill>
                <a:srgbClr val="F19759"/>
              </a:solidFill>
            </c:spPr>
            <c:extLst>
              <c:ext xmlns:c16="http://schemas.microsoft.com/office/drawing/2014/chart" uri="{C3380CC4-5D6E-409C-BE32-E72D297353CC}">
                <c16:uniqueId val="{00000007-CCB6-4055-B564-829B0CFAAD17}"/>
              </c:ext>
            </c:extLst>
          </c:dPt>
          <c:dPt>
            <c:idx val="4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CCB6-4055-B564-829B0CFAAD17}"/>
              </c:ext>
            </c:extLst>
          </c:dPt>
          <c:dPt>
            <c:idx val="5"/>
            <c:bubble3D val="0"/>
            <c:spPr>
              <a:solidFill>
                <a:schemeClr val="bg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CCB6-4055-B564-829B0CFAAD17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CCB6-4055-B564-829B0CFAAD17}"/>
              </c:ext>
            </c:extLst>
          </c:dPt>
          <c:dPt>
            <c:idx val="7"/>
            <c:bubble3D val="0"/>
            <c:spPr>
              <a:solidFill>
                <a:srgbClr val="13475D"/>
              </a:solidFill>
            </c:spPr>
            <c:extLst>
              <c:ext xmlns:c16="http://schemas.microsoft.com/office/drawing/2014/chart" uri="{C3380CC4-5D6E-409C-BE32-E72D297353CC}">
                <c16:uniqueId val="{0000000F-CCB6-4055-B564-829B0CFAAD17}"/>
              </c:ext>
            </c:extLst>
          </c:dPt>
          <c:dPt>
            <c:idx val="8"/>
            <c:bubble3D val="0"/>
            <c:spPr>
              <a:solidFill>
                <a:srgbClr val="00678E"/>
              </a:solidFill>
            </c:spPr>
            <c:extLst>
              <c:ext xmlns:c16="http://schemas.microsoft.com/office/drawing/2014/chart" uri="{C3380CC4-5D6E-409C-BE32-E72D297353CC}">
                <c16:uniqueId val="{00000011-CCB6-4055-B564-829B0CFAAD17}"/>
              </c:ext>
            </c:extLst>
          </c:dPt>
          <c:dLbls>
            <c:dLbl>
              <c:idx val="0"/>
              <c:layout>
                <c:manualLayout>
                  <c:x val="-7.628849714774435E-3"/>
                  <c:y val="-3.7430774278215222E-2"/>
                </c:manualLayout>
              </c:layout>
              <c:tx>
                <c:rich>
                  <a:bodyPr/>
                  <a:lstStyle/>
                  <a:p>
                    <a:fld id="{5AEC2A69-4B5D-4D34-A123-3305B24E2FF2}" type="VALUE">
                      <a:rPr lang="en-US"/>
                      <a:pPr/>
                      <a:t>[]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CB6-4055-B564-829B0CFAAD1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880DEEF-5212-4044-9D90-FC8B71D84923}" type="VALUE">
                      <a:rPr lang="en-US"/>
                      <a:pPr/>
                      <a:t>[]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CB6-4055-B564-829B0CFAAD17}"/>
                </c:ext>
              </c:extLst>
            </c:dLbl>
            <c:dLbl>
              <c:idx val="2"/>
              <c:layout>
                <c:manualLayout>
                  <c:x val="4.1848656869451668E-3"/>
                  <c:y val="4.1141732283464717E-2"/>
                </c:manualLayout>
              </c:layout>
              <c:tx>
                <c:rich>
                  <a:bodyPr/>
                  <a:lstStyle/>
                  <a:p>
                    <a:fld id="{E811EDBD-A52B-48A5-B5D7-A37144CB0111}" type="VALUE">
                      <a:rPr lang="en-US"/>
                      <a:pPr/>
                      <a:t>[]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CB6-4055-B564-829B0CFAAD17}"/>
                </c:ext>
              </c:extLst>
            </c:dLbl>
            <c:dLbl>
              <c:idx val="3"/>
              <c:layout>
                <c:manualLayout>
                  <c:x val="2.0596512332741811E-2"/>
                  <c:y val="0.14950590551181103"/>
                </c:manualLayout>
              </c:layout>
              <c:tx>
                <c:rich>
                  <a:bodyPr/>
                  <a:lstStyle/>
                  <a:p>
                    <a:pPr>
                      <a:defRPr sz="1400" b="1" i="0" u="none" strike="noStrike" baseline="0">
                        <a:solidFill>
                          <a:srgbClr val="F19759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fld id="{D6019A6B-4F24-459D-8515-9288778323F9}" type="VALUE">
                      <a:rPr lang="en-US">
                        <a:solidFill>
                          <a:srgbClr val="F19759"/>
                        </a:solidFill>
                      </a:rPr>
                      <a:pPr>
                        <a:defRPr sz="1400" b="1" i="0" u="none" strike="noStrike" baseline="0">
                          <a:solidFill>
                            <a:srgbClr val="F19759"/>
                          </a:solidFill>
                          <a:latin typeface="Calibri"/>
                          <a:ea typeface="Calibri"/>
                          <a:cs typeface="Calibri"/>
                        </a:defRPr>
                      </a:pPr>
                      <a:t>[]</a:t>
                    </a:fld>
                    <a:r>
                      <a:rPr lang="en-US">
                        <a:solidFill>
                          <a:srgbClr val="F19759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CCB6-4055-B564-829B0CFAAD17}"/>
                </c:ext>
              </c:extLst>
            </c:dLbl>
            <c:dLbl>
              <c:idx val="4"/>
              <c:layout>
                <c:manualLayout>
                  <c:x val="-2.7210879053583513E-2"/>
                  <c:y val="0.14166666666666652"/>
                </c:manualLayout>
              </c:layout>
              <c:tx>
                <c:rich>
                  <a:bodyPr/>
                  <a:lstStyle/>
                  <a:p>
                    <a:pPr>
                      <a:defRPr sz="1400" b="1" i="0" u="none" strike="noStrike" baseline="0">
                        <a:solidFill>
                          <a:schemeClr val="accent2">
                            <a:lumMod val="75000"/>
                          </a:schemeClr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fld id="{A1A1F70D-D595-4900-AD47-688DC28E389F}" type="VALUE">
                      <a:rPr lang="en-US">
                        <a:solidFill>
                          <a:schemeClr val="accent2">
                            <a:lumMod val="75000"/>
                          </a:schemeClr>
                        </a:solidFill>
                      </a:rPr>
                      <a:pPr>
                        <a:defRPr sz="1400" b="1" i="0" u="none" strike="noStrike" baseline="0">
                          <a:solidFill>
                            <a:schemeClr val="accent2">
                              <a:lumMod val="75000"/>
                            </a:schemeClr>
                          </a:solidFill>
                          <a:latin typeface="Calibri"/>
                          <a:ea typeface="Calibri"/>
                          <a:cs typeface="Calibri"/>
                        </a:defRPr>
                      </a:pPr>
                      <a:t>[]</a:t>
                    </a:fld>
                    <a:r>
                      <a:rPr lang="en-US">
                        <a:solidFill>
                          <a:schemeClr val="accent2">
                            <a:lumMod val="75000"/>
                          </a:schemeClr>
                        </a:solidFill>
                      </a:rPr>
                      <a:t>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CCB6-4055-B564-829B0CFAAD1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CEDE49F-A907-401F-A66C-1659F0E02711}" type="VALUE">
                      <a:rPr lang="en-US"/>
                      <a:pPr/>
                      <a:t>[]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CCB6-4055-B564-829B0CFAAD1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2ECD5A3-BF5B-42BE-BDEC-8A304F471D68}" type="VALUE">
                      <a:rPr lang="en-US"/>
                      <a:pPr/>
                      <a:t>[]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CCB6-4055-B564-829B0CFAAD17}"/>
                </c:ext>
              </c:extLst>
            </c:dLbl>
            <c:dLbl>
              <c:idx val="7"/>
              <c:layout>
                <c:manualLayout>
                  <c:x val="-5.7107785466859341E-3"/>
                  <c:y val="-2.1302493438320247E-2"/>
                </c:manualLayout>
              </c:layout>
              <c:tx>
                <c:rich>
                  <a:bodyPr/>
                  <a:lstStyle/>
                  <a:p>
                    <a:fld id="{F07F53AE-F14F-487F-90EF-66CBD9D50CCC}" type="VALUE">
                      <a:rPr lang="en-US"/>
                      <a:pPr/>
                      <a:t>[]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CCB6-4055-B564-829B0CFAAD1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D28E87E-26D0-4AA5-AFE6-7D39BFD37E7A}" type="VALUE">
                      <a:rPr lang="en-US"/>
                      <a:pPr/>
                      <a:t>[]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CCB6-4055-B564-829B0CFAAD1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chemeClr val="bg1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('G11-3'!$A$8:$A$12,'G11-3'!$A$14:$A$17)</c:f>
              <c:strCache>
                <c:ptCount val="9"/>
                <c:pt idx="0">
                  <c:v>       Petróleo e Derivados </c:v>
                </c:pt>
                <c:pt idx="1">
                  <c:v>       Gás Natural </c:v>
                </c:pt>
                <c:pt idx="2">
                  <c:v>       Carvão Mineral e Derivados</c:v>
                </c:pt>
                <c:pt idx="3">
                  <c:v>       Urânio (U3O8) e Derivados</c:v>
                </c:pt>
                <c:pt idx="4">
                  <c:v>       Outras Não Renováveis</c:v>
                </c:pt>
                <c:pt idx="5">
                  <c:v>       Hidráulica e Eletricidade </c:v>
                </c:pt>
                <c:pt idx="6">
                  <c:v>       Lenha e Carvão Vegetal </c:v>
                </c:pt>
                <c:pt idx="7">
                  <c:v>       Produtos da Cana-de-Açúcar</c:v>
                </c:pt>
                <c:pt idx="8">
                  <c:v>       Outras Renováveis</c:v>
                </c:pt>
              </c:strCache>
            </c:strRef>
          </c:cat>
          <c:val>
            <c:numRef>
              <c:f>('G11-3'!$AQ$8:$AQ$12,'G11-3'!$AQ$14:$AQ$17)</c:f>
              <c:numCache>
                <c:formatCode>0</c:formatCode>
                <c:ptCount val="9"/>
                <c:pt idx="0">
                  <c:v>30.262185440378502</c:v>
                </c:pt>
                <c:pt idx="1">
                  <c:v>14.27107875211111</c:v>
                </c:pt>
                <c:pt idx="2">
                  <c:v>4.9590012045564054</c:v>
                </c:pt>
                <c:pt idx="3">
                  <c:v>2.291039560175721</c:v>
                </c:pt>
                <c:pt idx="4">
                  <c:v>0.34889952355950288</c:v>
                </c:pt>
                <c:pt idx="5">
                  <c:v>11.338284937406938</c:v>
                </c:pt>
                <c:pt idx="6">
                  <c:v>7.2344634061678139</c:v>
                </c:pt>
                <c:pt idx="7">
                  <c:v>17.066492437050108</c:v>
                </c:pt>
                <c:pt idx="8">
                  <c:v>12.228554738593893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CCB6-4055-B564-829B0CFAA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.16695931758530183"/>
          <c:w val="0.43878790898246023"/>
          <c:h val="0.66637401574803146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1">
                    <a:lumMod val="50000"/>
                    <a:lumOff val="50000"/>
                  </a:schemeClr>
                </a:solidFill>
              </a:rPr>
              <a:t>2031</a:t>
            </a:r>
          </a:p>
          <a:p>
            <a:pPr>
              <a:defRPr sz="1800" b="0" i="0" u="none" strike="noStrike" kern="1200" spc="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>
                <a:solidFill>
                  <a:schemeClr val="tx1">
                    <a:lumMod val="50000"/>
                    <a:lumOff val="50000"/>
                  </a:schemeClr>
                </a:solidFill>
              </a:rPr>
              <a:t>275 GW</a:t>
            </a:r>
            <a:endParaRPr lang="en-US" sz="1800" b="1">
              <a:solidFill>
                <a:schemeClr val="tx1">
                  <a:lumMod val="50000"/>
                  <a:lumOff val="50000"/>
                </a:schemeClr>
              </a:solidFill>
            </a:endParaRPr>
          </a:p>
        </c:rich>
      </c:tx>
      <c:layout>
        <c:manualLayout>
          <c:xMode val="edge"/>
          <c:yMode val="edge"/>
          <c:x val="0.54684793515068431"/>
          <c:y val="0.38888888888888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2324826811678603"/>
          <c:y val="8.8379629629629614E-2"/>
          <c:w val="0.63044986312194851"/>
          <c:h val="0.81433107319918341"/>
        </c:manualLayout>
      </c:layout>
      <c:doughnutChart>
        <c:varyColors val="1"/>
        <c:ser>
          <c:idx val="0"/>
          <c:order val="0"/>
          <c:tx>
            <c:strRef>
              <c:f>'G11-4'!$C$5</c:f>
              <c:strCache>
                <c:ptCount val="1"/>
                <c:pt idx="0">
                  <c:v>2031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13475D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AE9-47A3-A6FE-E8C75876A898}"/>
              </c:ext>
            </c:extLst>
          </c:dPt>
          <c:dPt>
            <c:idx val="1"/>
            <c:bubble3D val="0"/>
            <c:spPr>
              <a:solidFill>
                <a:srgbClr val="00678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AE9-47A3-A6FE-E8C75876A898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AE9-47A3-A6FE-E8C75876A898}"/>
              </c:ext>
            </c:extLst>
          </c:dPt>
          <c:dPt>
            <c:idx val="3"/>
            <c:bubble3D val="0"/>
            <c:spPr>
              <a:solidFill>
                <a:srgbClr val="FFD96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AE9-47A3-A6FE-E8C75876A898}"/>
              </c:ext>
            </c:extLst>
          </c:dPt>
          <c:dPt>
            <c:idx val="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AE9-47A3-A6FE-E8C75876A898}"/>
              </c:ext>
            </c:extLst>
          </c:dPt>
          <c:dPt>
            <c:idx val="5"/>
            <c:bubble3D val="0"/>
            <c:spPr>
              <a:solidFill>
                <a:srgbClr val="F19759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AE9-47A3-A6FE-E8C75876A898}"/>
              </c:ext>
            </c:extLst>
          </c:dPt>
          <c:dPt>
            <c:idx val="6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AE9-47A3-A6FE-E8C75876A89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CAE9-47A3-A6FE-E8C75876A898}"/>
              </c:ext>
            </c:extLst>
          </c:dPt>
          <c:dLbls>
            <c:dLbl>
              <c:idx val="2"/>
              <c:layout>
                <c:manualLayout>
                  <c:x val="-9.8388491084394514E-2"/>
                  <c:y val="0.11111111111111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00678E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AE9-47A3-A6FE-E8C75876A898}"/>
                </c:ext>
              </c:extLst>
            </c:dLbl>
            <c:dLbl>
              <c:idx val="3"/>
              <c:layout>
                <c:manualLayout>
                  <c:x val="-0.10178119767351157"/>
                  <c:y val="0.107602339181286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FFC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AE9-47A3-A6FE-E8C75876A898}"/>
                </c:ext>
              </c:extLst>
            </c:dLbl>
            <c:dLbl>
              <c:idx val="4"/>
              <c:layout>
                <c:manualLayout>
                  <c:x val="-0.11195931744086272"/>
                  <c:y val="6.54970760233917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accent3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AE9-47A3-A6FE-E8C75876A8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'G11-4'!$A$6:$A$13</c:f>
              <c:strCache>
                <c:ptCount val="8"/>
                <c:pt idx="0">
                  <c:v>Hidráulica</c:v>
                </c:pt>
                <c:pt idx="1">
                  <c:v>Térmica Renovável</c:v>
                </c:pt>
                <c:pt idx="2">
                  <c:v>Térmica Não-Renovável</c:v>
                </c:pt>
                <c:pt idx="3">
                  <c:v>Nuclear</c:v>
                </c:pt>
                <c:pt idx="4">
                  <c:v>Solar</c:v>
                </c:pt>
                <c:pt idx="5">
                  <c:v>Eólica</c:v>
                </c:pt>
                <c:pt idx="6">
                  <c:v>APE + GD Renováveis</c:v>
                </c:pt>
                <c:pt idx="7">
                  <c:v>APE + GD Não-Renováveis</c:v>
                </c:pt>
              </c:strCache>
            </c:strRef>
          </c:cat>
          <c:val>
            <c:numRef>
              <c:f>'G11-4'!$C$6:$C$13</c:f>
              <c:numCache>
                <c:formatCode>0%</c:formatCode>
                <c:ptCount val="8"/>
                <c:pt idx="0">
                  <c:v>0.45174314812405308</c:v>
                </c:pt>
                <c:pt idx="1">
                  <c:v>5.8616440945338327E-2</c:v>
                </c:pt>
                <c:pt idx="2">
                  <c:v>0.12</c:v>
                </c:pt>
                <c:pt idx="3">
                  <c:v>0.02</c:v>
                </c:pt>
                <c:pt idx="4">
                  <c:v>0.04</c:v>
                </c:pt>
                <c:pt idx="5">
                  <c:v>0.11</c:v>
                </c:pt>
                <c:pt idx="6">
                  <c:v>0.17</c:v>
                </c:pt>
                <c:pt idx="7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AE9-47A3-A6FE-E8C75876A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>
                <a:solidFill>
                  <a:schemeClr val="tx1">
                    <a:lumMod val="50000"/>
                    <a:lumOff val="50000"/>
                  </a:schemeClr>
                </a:solidFill>
              </a:rPr>
              <a:t>2021</a:t>
            </a:r>
          </a:p>
          <a:p>
            <a:pPr>
              <a:defRPr sz="1800" b="0" i="0" u="none" strike="noStrike" kern="1200" spc="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>
                <a:solidFill>
                  <a:schemeClr val="tx1">
                    <a:lumMod val="50000"/>
                    <a:lumOff val="50000"/>
                  </a:schemeClr>
                </a:solidFill>
              </a:rPr>
              <a:t>200 GW</a:t>
            </a:r>
            <a:endParaRPr lang="en-US" sz="1800" b="1">
              <a:solidFill>
                <a:schemeClr val="tx1">
                  <a:lumMod val="50000"/>
                  <a:lumOff val="50000"/>
                </a:schemeClr>
              </a:solidFill>
            </a:endParaRPr>
          </a:p>
        </c:rich>
      </c:tx>
      <c:layout>
        <c:manualLayout>
          <c:xMode val="edge"/>
          <c:yMode val="edge"/>
          <c:x val="0.24588139897147002"/>
          <c:y val="0.393518518518518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499391844312142E-2"/>
          <c:y val="8.8379629629629614E-2"/>
          <c:w val="0.48863757655293089"/>
          <c:h val="0.81439596092155142"/>
        </c:manualLayout>
      </c:layout>
      <c:doughnutChart>
        <c:varyColors val="1"/>
        <c:ser>
          <c:idx val="0"/>
          <c:order val="0"/>
          <c:tx>
            <c:strRef>
              <c:f>'G11-4'!$B$5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13475D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15E-47B1-BBD1-58CF55D432AB}"/>
              </c:ext>
            </c:extLst>
          </c:dPt>
          <c:dPt>
            <c:idx val="1"/>
            <c:bubble3D val="0"/>
            <c:spPr>
              <a:solidFill>
                <a:srgbClr val="00678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15E-47B1-BBD1-58CF55D432AB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15E-47B1-BBD1-58CF55D432AB}"/>
              </c:ext>
            </c:extLst>
          </c:dPt>
          <c:dPt>
            <c:idx val="3"/>
            <c:bubble3D val="0"/>
            <c:spPr>
              <a:solidFill>
                <a:srgbClr val="FFD96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15E-47B1-BBD1-58CF55D432AB}"/>
              </c:ext>
            </c:extLst>
          </c:dPt>
          <c:dPt>
            <c:idx val="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15E-47B1-BBD1-58CF55D432A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15E-47B1-BBD1-58CF55D432AB}"/>
              </c:ext>
            </c:extLst>
          </c:dPt>
          <c:dPt>
            <c:idx val="6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15E-47B1-BBD1-58CF55D432AB}"/>
              </c:ext>
            </c:extLst>
          </c:dPt>
          <c:dLbls>
            <c:dLbl>
              <c:idx val="2"/>
              <c:layout>
                <c:manualLayout>
                  <c:x val="-0.10298102981029811"/>
                  <c:y val="-1.851851851851856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accen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5E-47B1-BBD1-58CF55D432AB}"/>
                </c:ext>
              </c:extLst>
            </c:dLbl>
            <c:dLbl>
              <c:idx val="3"/>
              <c:layout>
                <c:manualLayout>
                  <c:x val="-8.943089430894309E-2"/>
                  <c:y val="-7.87037037037037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5E-47B1-BBD1-58CF55D432AB}"/>
                </c:ext>
              </c:extLst>
            </c:dLbl>
            <c:dLbl>
              <c:idx val="4"/>
              <c:layout>
                <c:manualLayout>
                  <c:x val="-5.9620596205962058E-2"/>
                  <c:y val="-0.1342592592592592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5E-47B1-BBD1-58CF55D432AB}"/>
                </c:ext>
              </c:extLst>
            </c:dLbl>
            <c:dLbl>
              <c:idx val="5"/>
              <c:layout>
                <c:manualLayout>
                  <c:x val="-4.6070460704607047E-2"/>
                  <c:y val="-0.1578148721473690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accent6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15E-47B1-BBD1-58CF55D432AB}"/>
                </c:ext>
              </c:extLst>
            </c:dLbl>
            <c:dLbl>
              <c:idx val="6"/>
              <c:layout>
                <c:manualLayout>
                  <c:x val="-2.7100271002710027E-3"/>
                  <c:y val="-0.1435185185185185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accent2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15E-47B1-BBD1-58CF55D432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'G11-4'!$A$6:$A$13</c:f>
              <c:strCache>
                <c:ptCount val="8"/>
                <c:pt idx="0">
                  <c:v>Hidráulica</c:v>
                </c:pt>
                <c:pt idx="1">
                  <c:v>Térmica Renovável</c:v>
                </c:pt>
                <c:pt idx="2">
                  <c:v>Térmica Não-Renovável</c:v>
                </c:pt>
                <c:pt idx="3">
                  <c:v>Nuclear</c:v>
                </c:pt>
                <c:pt idx="4">
                  <c:v>Solar</c:v>
                </c:pt>
                <c:pt idx="5">
                  <c:v>Eólica</c:v>
                </c:pt>
                <c:pt idx="6">
                  <c:v>APE + GD Renováveis</c:v>
                </c:pt>
                <c:pt idx="7">
                  <c:v>APE + GD Não-Renováveis</c:v>
                </c:pt>
              </c:strCache>
            </c:strRef>
          </c:cat>
          <c:val>
            <c:numRef>
              <c:f>'G11-4'!$B$6:$B$12</c:f>
              <c:numCache>
                <c:formatCode>0%</c:formatCode>
                <c:ptCount val="7"/>
                <c:pt idx="0">
                  <c:v>0.57836653621801792</c:v>
                </c:pt>
                <c:pt idx="1">
                  <c:v>7.1609995942532423E-2</c:v>
                </c:pt>
                <c:pt idx="2">
                  <c:v>0.11512588973626063</c:v>
                </c:pt>
                <c:pt idx="3">
                  <c:v>9.9448679898892778E-3</c:v>
                </c:pt>
                <c:pt idx="4">
                  <c:v>2.2123583211678306E-2</c:v>
                </c:pt>
                <c:pt idx="5">
                  <c:v>9.7948953826648671E-2</c:v>
                </c:pt>
                <c:pt idx="6">
                  <c:v>7.8981272564965024E-2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15E-47B1-BBD1-58CF55D43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7720205705994065"/>
          <c:y val="0.16666447944006998"/>
          <c:w val="0.4065377803384333"/>
          <c:h val="0.57407626130067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7"/>
          <c:order val="0"/>
          <c:tx>
            <c:strRef>
              <c:f>'G11-4 OCULTO'!$B$11</c:f>
              <c:strCache>
                <c:ptCount val="1"/>
                <c:pt idx="0">
                  <c:v>Brasil (2029)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'G11-4 OCULTO'!$C$11</c:f>
              <c:numCache>
                <c:formatCode>0.00</c:formatCode>
                <c:ptCount val="1"/>
                <c:pt idx="0">
                  <c:v>1.4001171820822929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6-41E4-B279-6886777C9ED7}"/>
            </c:ext>
          </c:extLst>
        </c:ser>
        <c:ser>
          <c:idx val="6"/>
          <c:order val="1"/>
          <c:tx>
            <c:strRef>
              <c:f>'G11-4 OCULTO'!$B$10</c:f>
              <c:strCache>
                <c:ptCount val="1"/>
                <c:pt idx="0">
                  <c:v>Brasil (2024)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'G11-4 OCULTO'!$C$10</c:f>
              <c:numCache>
                <c:formatCode>0.00</c:formatCode>
                <c:ptCount val="1"/>
                <c:pt idx="0">
                  <c:v>1.3089000298903974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6-41E4-B279-6886777C9ED7}"/>
            </c:ext>
          </c:extLst>
        </c:ser>
        <c:ser>
          <c:idx val="5"/>
          <c:order val="2"/>
          <c:tx>
            <c:strRef>
              <c:f>'G11-4 OCULTO'!$B$9</c:f>
              <c:strCache>
                <c:ptCount val="1"/>
                <c:pt idx="0">
                  <c:v>Brasil (2019)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'G11-4 OCULTO'!$C$9</c:f>
              <c:numCache>
                <c:formatCode>0.00</c:formatCode>
                <c:ptCount val="1"/>
                <c:pt idx="0">
                  <c:v>1.4626720489444496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16-41E4-B279-6886777C9ED7}"/>
            </c:ext>
          </c:extLst>
        </c:ser>
        <c:ser>
          <c:idx val="3"/>
          <c:order val="3"/>
          <c:tx>
            <c:strRef>
              <c:f>'G11-4 OCULTO'!$B$7</c:f>
              <c:strCache>
                <c:ptCount val="1"/>
                <c:pt idx="0">
                  <c:v>União Europeia (2016)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'G11-4 OCULTO'!$C$7</c:f>
              <c:numCache>
                <c:formatCode>0.00</c:formatCode>
                <c:ptCount val="1"/>
                <c:pt idx="0">
                  <c:v>1.9969685842487737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16-41E4-B279-6886777C9ED7}"/>
            </c:ext>
          </c:extLst>
        </c:ser>
        <c:ser>
          <c:idx val="4"/>
          <c:order val="4"/>
          <c:tx>
            <c:strRef>
              <c:f>'G11-4 OCULTO'!$B$8</c:f>
              <c:strCache>
                <c:ptCount val="1"/>
                <c:pt idx="0">
                  <c:v>Países OCDE (2016)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'G11-4 OCULTO'!$C$8</c:f>
              <c:numCache>
                <c:formatCode>0.00</c:formatCode>
                <c:ptCount val="1"/>
                <c:pt idx="0">
                  <c:v>2.1975218672710017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16-41E4-B279-6886777C9ED7}"/>
            </c:ext>
          </c:extLst>
        </c:ser>
        <c:ser>
          <c:idx val="2"/>
          <c:order val="5"/>
          <c:tx>
            <c:strRef>
              <c:f>'G11-4 OCULTO'!$B$6</c:f>
              <c:strCache>
                <c:ptCount val="1"/>
                <c:pt idx="0">
                  <c:v>EUA (2016)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'G11-4 OCULTO'!$C$6</c:f>
              <c:numCache>
                <c:formatCode>0.00</c:formatCode>
                <c:ptCount val="1"/>
                <c:pt idx="0">
                  <c:v>2.2306972648217984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D16-41E4-B279-6886777C9ED7}"/>
            </c:ext>
          </c:extLst>
        </c:ser>
        <c:ser>
          <c:idx val="0"/>
          <c:order val="6"/>
          <c:tx>
            <c:strRef>
              <c:f>'G11-4 OCULTO'!$B$4</c:f>
              <c:strCache>
                <c:ptCount val="1"/>
                <c:pt idx="0">
                  <c:v>Mundo (2016)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'G11-4 OCULTO'!$C$4</c:f>
              <c:numCache>
                <c:formatCode>0.00</c:formatCode>
                <c:ptCount val="1"/>
                <c:pt idx="0">
                  <c:v>2.3483152101206786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D16-41E4-B279-6886777C9ED7}"/>
            </c:ext>
          </c:extLst>
        </c:ser>
        <c:ser>
          <c:idx val="1"/>
          <c:order val="7"/>
          <c:tx>
            <c:strRef>
              <c:f>'G11-4 OCULTO'!$B$5</c:f>
              <c:strCache>
                <c:ptCount val="1"/>
                <c:pt idx="0">
                  <c:v>China (2016)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'G11-4 OCULTO'!$C$5</c:f>
              <c:numCache>
                <c:formatCode>0.00</c:formatCode>
                <c:ptCount val="1"/>
                <c:pt idx="0">
                  <c:v>3.0617912668901726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D16-41E4-B279-6886777C9E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137911344"/>
        <c:axId val="-1137912976"/>
      </c:barChart>
      <c:catAx>
        <c:axId val="-113791134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-1137912976"/>
        <c:crosses val="autoZero"/>
        <c:auto val="1"/>
        <c:lblAlgn val="ctr"/>
        <c:lblOffset val="100"/>
        <c:noMultiLvlLbl val="0"/>
      </c:catAx>
      <c:valAx>
        <c:axId val="-1137912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37911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3.6111111111111108E-2"/>
          <c:y val="0.12268299795858852"/>
          <c:w val="0.27188013998250221"/>
          <c:h val="0.6990784485272674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lang="pt-BR" sz="9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7"/>
          <c:order val="0"/>
          <c:tx>
            <c:strRef>
              <c:f>'G11-5 OCULTO'!$B$11</c:f>
              <c:strCache>
                <c:ptCount val="1"/>
                <c:pt idx="0">
                  <c:v>Brasil (2029)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'G11-5 OCULTO'!$C$11</c:f>
              <c:numCache>
                <c:formatCode>0.00</c:formatCode>
                <c:ptCount val="1"/>
                <c:pt idx="0">
                  <c:v>0.12867040470086838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95-4349-A6E0-4B6F322E4A5C}"/>
            </c:ext>
          </c:extLst>
        </c:ser>
        <c:ser>
          <c:idx val="6"/>
          <c:order val="1"/>
          <c:tx>
            <c:strRef>
              <c:f>'G11-5 OCULTO'!$B$10</c:f>
              <c:strCache>
                <c:ptCount val="1"/>
                <c:pt idx="0">
                  <c:v>Brasil (2024)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'G11-5 OCULTO'!$C$10</c:f>
              <c:numCache>
                <c:formatCode>0.00</c:formatCode>
                <c:ptCount val="1"/>
                <c:pt idx="0">
                  <c:v>0.12099871822430112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95-4349-A6E0-4B6F322E4A5C}"/>
            </c:ext>
          </c:extLst>
        </c:ser>
        <c:ser>
          <c:idx val="5"/>
          <c:order val="2"/>
          <c:tx>
            <c:strRef>
              <c:f>'G11-5 OCULTO'!$B$9</c:f>
              <c:strCache>
                <c:ptCount val="1"/>
                <c:pt idx="0">
                  <c:v>Brasil (2019)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'G11-5 OCULTO'!$C$9</c:f>
              <c:numCache>
                <c:formatCode>0.00</c:formatCode>
                <c:ptCount val="1"/>
                <c:pt idx="0">
                  <c:v>0.139517677158327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95-4349-A6E0-4B6F322E4A5C}"/>
            </c:ext>
          </c:extLst>
        </c:ser>
        <c:ser>
          <c:idx val="3"/>
          <c:order val="3"/>
          <c:tx>
            <c:strRef>
              <c:f>'G11-5 OCULTO'!$B$7</c:f>
              <c:strCache>
                <c:ptCount val="1"/>
                <c:pt idx="0">
                  <c:v>União Europeia (2016)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'G11-5 OCULTO'!$C$7</c:f>
              <c:numCache>
                <c:formatCode>0.00</c:formatCode>
                <c:ptCount val="1"/>
                <c:pt idx="0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95-4349-A6E0-4B6F322E4A5C}"/>
            </c:ext>
          </c:extLst>
        </c:ser>
        <c:ser>
          <c:idx val="4"/>
          <c:order val="4"/>
          <c:tx>
            <c:strRef>
              <c:f>'G11-5 OCULTO'!$B$8</c:f>
              <c:strCache>
                <c:ptCount val="1"/>
                <c:pt idx="0">
                  <c:v>Países OCDE (2016)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'G11-5 OCULTO'!$C$8</c:f>
              <c:numCache>
                <c:formatCode>0.00</c:formatCode>
                <c:ptCount val="1"/>
                <c:pt idx="0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95-4349-A6E0-4B6F322E4A5C}"/>
            </c:ext>
          </c:extLst>
        </c:ser>
        <c:ser>
          <c:idx val="2"/>
          <c:order val="5"/>
          <c:tx>
            <c:strRef>
              <c:f>'G11-5 OCULTO'!$B$6</c:f>
              <c:strCache>
                <c:ptCount val="1"/>
                <c:pt idx="0">
                  <c:v>EUA (2016)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'G11-5 OCULTO'!$C$6</c:f>
              <c:numCache>
                <c:formatCode>0.00</c:formatCode>
                <c:ptCount val="1"/>
                <c:pt idx="0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795-4349-A6E0-4B6F322E4A5C}"/>
            </c:ext>
          </c:extLst>
        </c:ser>
        <c:ser>
          <c:idx val="0"/>
          <c:order val="6"/>
          <c:tx>
            <c:strRef>
              <c:f>'G11-5 OCULTO'!$B$4</c:f>
              <c:strCache>
                <c:ptCount val="1"/>
                <c:pt idx="0">
                  <c:v>Mundo (2016)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'G11-5 OCULTO'!$C$4</c:f>
              <c:numCache>
                <c:formatCode>0.00</c:formatCode>
                <c:ptCount val="1"/>
                <c:pt idx="0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795-4349-A6E0-4B6F322E4A5C}"/>
            </c:ext>
          </c:extLst>
        </c:ser>
        <c:ser>
          <c:idx val="1"/>
          <c:order val="7"/>
          <c:tx>
            <c:strRef>
              <c:f>'G11-5 OCULTO'!$B$5</c:f>
              <c:strCache>
                <c:ptCount val="1"/>
                <c:pt idx="0">
                  <c:v>China (2016)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'G11-5 OCULTO'!$C$5</c:f>
              <c:numCache>
                <c:formatCode>0.00</c:formatCode>
                <c:ptCount val="1"/>
                <c:pt idx="0">
                  <c:v>0.47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795-4349-A6E0-4B6F322E4A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137921680"/>
        <c:axId val="-1137916784"/>
      </c:barChart>
      <c:catAx>
        <c:axId val="-113792168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-1137916784"/>
        <c:crosses val="autoZero"/>
        <c:auto val="1"/>
        <c:lblAlgn val="ctr"/>
        <c:lblOffset val="100"/>
        <c:noMultiLvlLbl val="0"/>
      </c:catAx>
      <c:valAx>
        <c:axId val="-1137916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37921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3.6111111111111108E-2"/>
          <c:y val="0.12268299795858852"/>
          <c:w val="0.27188013998250221"/>
          <c:h val="0.6990784485272674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lang="pt-BR" sz="9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'G11-5'!$A$6</c:f>
              <c:strCache>
                <c:ptCount val="1"/>
                <c:pt idx="0">
                  <c:v>Energia Renovável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'G11-5'!$B$5:$D$5</c:f>
              <c:numCache>
                <c:formatCode>General</c:formatCode>
                <c:ptCount val="3"/>
                <c:pt idx="0">
                  <c:v>2021</c:v>
                </c:pt>
                <c:pt idx="1">
                  <c:v>2026</c:v>
                </c:pt>
                <c:pt idx="2">
                  <c:v>2031</c:v>
                </c:pt>
              </c:numCache>
            </c:numRef>
          </c:cat>
          <c:val>
            <c:numRef>
              <c:f>'G11-5'!$B$6:$D$6</c:f>
              <c:numCache>
                <c:formatCode>0%</c:formatCode>
                <c:ptCount val="3"/>
                <c:pt idx="0">
                  <c:v>0.84903034176384229</c:v>
                </c:pt>
                <c:pt idx="1">
                  <c:v>0.85509660277600408</c:v>
                </c:pt>
                <c:pt idx="2">
                  <c:v>0.8317792450713436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4B-4383-AF52-C04CC4DCB85E}"/>
            </c:ext>
          </c:extLst>
        </c:ser>
        <c:ser>
          <c:idx val="1"/>
          <c:order val="1"/>
          <c:tx>
            <c:strRef>
              <c:f>'G11-5'!$A$7</c:f>
              <c:strCache>
                <c:ptCount val="1"/>
                <c:pt idx="0">
                  <c:v>Energia Não Renovável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'G11-5'!$B$5:$D$5</c:f>
              <c:numCache>
                <c:formatCode>General</c:formatCode>
                <c:ptCount val="3"/>
                <c:pt idx="0">
                  <c:v>2021</c:v>
                </c:pt>
                <c:pt idx="1">
                  <c:v>2026</c:v>
                </c:pt>
                <c:pt idx="2">
                  <c:v>2031</c:v>
                </c:pt>
              </c:numCache>
            </c:numRef>
          </c:cat>
          <c:val>
            <c:numRef>
              <c:f>'G11-5'!$B$7:$D$7</c:f>
              <c:numCache>
                <c:formatCode>0%</c:formatCode>
                <c:ptCount val="3"/>
                <c:pt idx="0">
                  <c:v>0.15096965823615768</c:v>
                </c:pt>
                <c:pt idx="1">
                  <c:v>0.14490339722399598</c:v>
                </c:pt>
                <c:pt idx="2">
                  <c:v>0.16822075492865629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4B-4383-AF52-C04CC4DCB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-1137940176"/>
        <c:axId val="-1137921136"/>
      </c:barChart>
      <c:catAx>
        <c:axId val="-1137940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37921136"/>
        <c:crosses val="autoZero"/>
        <c:auto val="1"/>
        <c:lblAlgn val="ctr"/>
        <c:lblOffset val="100"/>
        <c:noMultiLvlLbl val="0"/>
      </c:catAx>
      <c:valAx>
        <c:axId val="-1137921136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-1137940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3427143482064741"/>
          <c:y val="0.80613371245261012"/>
          <c:w val="0.33701268591426065"/>
          <c:h val="0.142940361621463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11</xdr:col>
      <xdr:colOff>66675</xdr:colOff>
      <xdr:row>18</xdr:row>
      <xdr:rowOff>38100</xdr:rowOff>
    </xdr:to>
    <xdr:grpSp>
      <xdr:nvGrpSpPr>
        <xdr:cNvPr id="32" name="Grupo 21">
          <a:extLst>
            <a:ext uri="{FF2B5EF4-FFF2-40B4-BE49-F238E27FC236}">
              <a16:creationId xmlns:a16="http://schemas.microsoft.com/office/drawing/2014/main" id="{B7AAAFDF-5141-4306-A932-B3828E049DA7}"/>
            </a:ext>
          </a:extLst>
        </xdr:cNvPr>
        <xdr:cNvGrpSpPr/>
      </xdr:nvGrpSpPr>
      <xdr:grpSpPr>
        <a:xfrm>
          <a:off x="2857500" y="323850"/>
          <a:ext cx="5581650" cy="2686050"/>
          <a:chOff x="609600" y="2543175"/>
          <a:chExt cx="4572000" cy="2743200"/>
        </a:xfrm>
      </xdr:grpSpPr>
      <xdr:graphicFrame macro="">
        <xdr:nvGraphicFramePr>
          <xdr:cNvPr id="33" name="Gráfico 32">
            <a:extLst>
              <a:ext uri="{FF2B5EF4-FFF2-40B4-BE49-F238E27FC236}">
                <a16:creationId xmlns:a16="http://schemas.microsoft.com/office/drawing/2014/main" id="{C182B649-96F6-4E97-9125-A92465F80347}"/>
              </a:ext>
            </a:extLst>
          </xdr:cNvPr>
          <xdr:cNvGraphicFramePr>
            <a:graphicFrameLocks/>
          </xdr:cNvGraphicFramePr>
        </xdr:nvGraphicFramePr>
        <xdr:xfrm>
          <a:off x="609600" y="2543175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4" name="CaixaDeTexto 33">
            <a:extLst>
              <a:ext uri="{FF2B5EF4-FFF2-40B4-BE49-F238E27FC236}">
                <a16:creationId xmlns:a16="http://schemas.microsoft.com/office/drawing/2014/main" id="{3914C75D-BA78-41CE-B7B8-AD199B2DC4D1}"/>
              </a:ext>
            </a:extLst>
          </xdr:cNvPr>
          <xdr:cNvSpPr txBox="1"/>
        </xdr:nvSpPr>
        <xdr:spPr>
          <a:xfrm>
            <a:off x="885825" y="2874879"/>
            <a:ext cx="720966" cy="24885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spAutoFit/>
          </a:bodyPr>
          <a:lstStyle/>
          <a:p>
            <a:r>
              <a:rPr lang="pt-BR" sz="1000" b="0">
                <a:solidFill>
                  <a:schemeClr val="bg1"/>
                </a:solidFill>
              </a:rPr>
              <a:t>EUA (2019)</a:t>
            </a:r>
          </a:p>
        </xdr:txBody>
      </xdr:sp>
      <xdr:sp macro="" textlink="">
        <xdr:nvSpPr>
          <xdr:cNvPr id="35" name="CaixaDeTexto 34">
            <a:extLst>
              <a:ext uri="{FF2B5EF4-FFF2-40B4-BE49-F238E27FC236}">
                <a16:creationId xmlns:a16="http://schemas.microsoft.com/office/drawing/2014/main" id="{721377CE-1937-414C-B6F4-D4F90DDFBD56}"/>
              </a:ext>
            </a:extLst>
          </xdr:cNvPr>
          <xdr:cNvSpPr txBox="1"/>
        </xdr:nvSpPr>
        <xdr:spPr>
          <a:xfrm>
            <a:off x="885825" y="3103479"/>
            <a:ext cx="1390650" cy="24885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r>
              <a:rPr lang="pt-BR" sz="1000" b="0">
                <a:solidFill>
                  <a:srgbClr val="00678E"/>
                </a:solidFill>
              </a:rPr>
              <a:t>Países</a:t>
            </a:r>
            <a:r>
              <a:rPr lang="pt-BR" sz="1000" b="0" baseline="0">
                <a:solidFill>
                  <a:srgbClr val="00678E"/>
                </a:solidFill>
              </a:rPr>
              <a:t> OCDE (2019)</a:t>
            </a:r>
            <a:endParaRPr lang="pt-BR" sz="1000" b="0">
              <a:solidFill>
                <a:srgbClr val="00678E"/>
              </a:solidFill>
            </a:endParaRPr>
          </a:p>
        </xdr:txBody>
      </xdr:sp>
      <xdr:sp macro="" textlink="">
        <xdr:nvSpPr>
          <xdr:cNvPr id="36" name="CaixaDeTexto 35">
            <a:extLst>
              <a:ext uri="{FF2B5EF4-FFF2-40B4-BE49-F238E27FC236}">
                <a16:creationId xmlns:a16="http://schemas.microsoft.com/office/drawing/2014/main" id="{9EDBCEE2-4D76-4ED3-9BEF-69DD50151855}"/>
              </a:ext>
            </a:extLst>
          </xdr:cNvPr>
          <xdr:cNvSpPr txBox="1"/>
        </xdr:nvSpPr>
        <xdr:spPr>
          <a:xfrm>
            <a:off x="885824" y="3332079"/>
            <a:ext cx="1485901" cy="24885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r>
              <a:rPr lang="pt-BR" sz="1000" b="0" baseline="0">
                <a:solidFill>
                  <a:schemeClr val="bg1"/>
                </a:solidFill>
              </a:rPr>
              <a:t>União Européia (2019)</a:t>
            </a:r>
            <a:endParaRPr lang="pt-BR" sz="1000" b="0">
              <a:solidFill>
                <a:schemeClr val="bg1"/>
              </a:solidFill>
            </a:endParaRPr>
          </a:p>
        </xdr:txBody>
      </xdr:sp>
      <xdr:sp macro="" textlink="">
        <xdr:nvSpPr>
          <xdr:cNvPr id="37" name="CaixaDeTexto 36">
            <a:extLst>
              <a:ext uri="{FF2B5EF4-FFF2-40B4-BE49-F238E27FC236}">
                <a16:creationId xmlns:a16="http://schemas.microsoft.com/office/drawing/2014/main" id="{5927DC47-FDF0-46F6-8ED4-257C6BD56BAF}"/>
              </a:ext>
            </a:extLst>
          </xdr:cNvPr>
          <xdr:cNvSpPr txBox="1"/>
        </xdr:nvSpPr>
        <xdr:spPr>
          <a:xfrm>
            <a:off x="885824" y="3560679"/>
            <a:ext cx="1485901" cy="24885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r>
              <a:rPr lang="pt-BR" sz="1000" b="0" baseline="0">
                <a:solidFill>
                  <a:srgbClr val="00678E"/>
                </a:solidFill>
              </a:rPr>
              <a:t>China (2019)</a:t>
            </a:r>
            <a:endParaRPr lang="pt-BR" sz="1000" b="0">
              <a:solidFill>
                <a:srgbClr val="00678E"/>
              </a:solidFill>
            </a:endParaRPr>
          </a:p>
        </xdr:txBody>
      </xdr:sp>
      <xdr:sp macro="" textlink="">
        <xdr:nvSpPr>
          <xdr:cNvPr id="38" name="CaixaDeTexto 37">
            <a:extLst>
              <a:ext uri="{FF2B5EF4-FFF2-40B4-BE49-F238E27FC236}">
                <a16:creationId xmlns:a16="http://schemas.microsoft.com/office/drawing/2014/main" id="{98A24E74-0CCE-48F5-81C2-B7730C4669C0}"/>
              </a:ext>
            </a:extLst>
          </xdr:cNvPr>
          <xdr:cNvSpPr txBox="1"/>
        </xdr:nvSpPr>
        <xdr:spPr>
          <a:xfrm>
            <a:off x="885825" y="3798804"/>
            <a:ext cx="962026" cy="24885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r>
              <a:rPr lang="pt-BR" sz="1000" b="0" baseline="0">
                <a:solidFill>
                  <a:schemeClr val="bg1"/>
                </a:solidFill>
              </a:rPr>
              <a:t>Mundo (2019)</a:t>
            </a:r>
            <a:endParaRPr lang="pt-BR" sz="1000" b="0">
              <a:solidFill>
                <a:schemeClr val="bg1"/>
              </a:solidFill>
            </a:endParaRPr>
          </a:p>
        </xdr:txBody>
      </xdr:sp>
      <xdr:sp macro="" textlink="">
        <xdr:nvSpPr>
          <xdr:cNvPr id="39" name="CaixaDeTexto 38">
            <a:extLst>
              <a:ext uri="{FF2B5EF4-FFF2-40B4-BE49-F238E27FC236}">
                <a16:creationId xmlns:a16="http://schemas.microsoft.com/office/drawing/2014/main" id="{8CBD2863-43AC-4AB3-8941-2925FECB1D2C}"/>
              </a:ext>
            </a:extLst>
          </xdr:cNvPr>
          <xdr:cNvSpPr txBox="1"/>
        </xdr:nvSpPr>
        <xdr:spPr>
          <a:xfrm>
            <a:off x="876299" y="4027404"/>
            <a:ext cx="838201" cy="24885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r>
              <a:rPr lang="pt-BR" sz="1000" b="0" baseline="0">
                <a:solidFill>
                  <a:srgbClr val="00678E"/>
                </a:solidFill>
              </a:rPr>
              <a:t>Brasil (2021)</a:t>
            </a:r>
            <a:endParaRPr lang="pt-BR" sz="1000" b="0">
              <a:solidFill>
                <a:srgbClr val="00678E"/>
              </a:solidFill>
            </a:endParaRPr>
          </a:p>
        </xdr:txBody>
      </xdr:sp>
      <xdr:sp macro="" textlink="">
        <xdr:nvSpPr>
          <xdr:cNvPr id="40" name="CaixaDeTexto 39">
            <a:extLst>
              <a:ext uri="{FF2B5EF4-FFF2-40B4-BE49-F238E27FC236}">
                <a16:creationId xmlns:a16="http://schemas.microsoft.com/office/drawing/2014/main" id="{DE369568-D2FD-4409-A6D9-1B024D0CBDF3}"/>
              </a:ext>
            </a:extLst>
          </xdr:cNvPr>
          <xdr:cNvSpPr txBox="1"/>
        </xdr:nvSpPr>
        <xdr:spPr>
          <a:xfrm>
            <a:off x="876299" y="4256004"/>
            <a:ext cx="857251" cy="24885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r>
              <a:rPr lang="pt-BR" sz="1000" b="0" baseline="0">
                <a:solidFill>
                  <a:schemeClr val="bg1"/>
                </a:solidFill>
              </a:rPr>
              <a:t>Brasil (2026)</a:t>
            </a:r>
            <a:endParaRPr lang="pt-BR" sz="1000" b="0">
              <a:solidFill>
                <a:schemeClr val="bg1"/>
              </a:solidFill>
            </a:endParaRPr>
          </a:p>
        </xdr:txBody>
      </xdr:sp>
      <xdr:sp macro="" textlink="">
        <xdr:nvSpPr>
          <xdr:cNvPr id="41" name="CaixaDeTexto 40">
            <a:extLst>
              <a:ext uri="{FF2B5EF4-FFF2-40B4-BE49-F238E27FC236}">
                <a16:creationId xmlns:a16="http://schemas.microsoft.com/office/drawing/2014/main" id="{F29A5371-814C-48BC-BD32-223565143C18}"/>
              </a:ext>
            </a:extLst>
          </xdr:cNvPr>
          <xdr:cNvSpPr txBox="1"/>
        </xdr:nvSpPr>
        <xdr:spPr>
          <a:xfrm>
            <a:off x="876300" y="4484604"/>
            <a:ext cx="866776" cy="24885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r>
              <a:rPr lang="pt-BR" sz="1000" b="0" baseline="0">
                <a:solidFill>
                  <a:srgbClr val="00678E"/>
                </a:solidFill>
              </a:rPr>
              <a:t>Brasil (2031)</a:t>
            </a:r>
            <a:endParaRPr lang="pt-BR" sz="1000" b="0">
              <a:solidFill>
                <a:srgbClr val="00678E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3</xdr:row>
      <xdr:rowOff>0</xdr:rowOff>
    </xdr:from>
    <xdr:to>
      <xdr:col>22</xdr:col>
      <xdr:colOff>342900</xdr:colOff>
      <xdr:row>20</xdr:row>
      <xdr:rowOff>19050</xdr:rowOff>
    </xdr:to>
    <xdr:graphicFrame macro="">
      <xdr:nvGraphicFramePr>
        <xdr:cNvPr id="4" name="Gráfico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0</xdr:colOff>
      <xdr:row>4</xdr:row>
      <xdr:rowOff>0</xdr:rowOff>
    </xdr:from>
    <xdr:to>
      <xdr:col>58</xdr:col>
      <xdr:colOff>1906</xdr:colOff>
      <xdr:row>22</xdr:row>
      <xdr:rowOff>38100</xdr:rowOff>
    </xdr:to>
    <xdr:grpSp>
      <xdr:nvGrpSpPr>
        <xdr:cNvPr id="5" name="Grupo 40">
          <a:extLst>
            <a:ext uri="{FF2B5EF4-FFF2-40B4-BE49-F238E27FC236}">
              <a16:creationId xmlns:a16="http://schemas.microsoft.com/office/drawing/2014/main" id="{6BC7C3AA-8776-4662-8565-5B58B21093BC}"/>
            </a:ext>
          </a:extLst>
        </xdr:cNvPr>
        <xdr:cNvGrpSpPr/>
      </xdr:nvGrpSpPr>
      <xdr:grpSpPr>
        <a:xfrm>
          <a:off x="7239000" y="647700"/>
          <a:ext cx="7679056" cy="2952750"/>
          <a:chOff x="666750" y="590550"/>
          <a:chExt cx="6124573" cy="2095500"/>
        </a:xfrm>
      </xdr:grpSpPr>
      <xdr:graphicFrame macro="">
        <xdr:nvGraphicFramePr>
          <xdr:cNvPr id="6" name="Gráfico 5">
            <a:extLst>
              <a:ext uri="{FF2B5EF4-FFF2-40B4-BE49-F238E27FC236}">
                <a16:creationId xmlns:a16="http://schemas.microsoft.com/office/drawing/2014/main" id="{5B92EA8A-7C0B-45D2-8FE7-483E0F3AE304}"/>
              </a:ext>
            </a:extLst>
          </xdr:cNvPr>
          <xdr:cNvGraphicFramePr>
            <a:graphicFrameLocks/>
          </xdr:cNvGraphicFramePr>
        </xdr:nvGraphicFramePr>
        <xdr:xfrm>
          <a:off x="666750" y="590550"/>
          <a:ext cx="2162175" cy="20955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7" name="Gráfico 6">
            <a:extLst>
              <a:ext uri="{FF2B5EF4-FFF2-40B4-BE49-F238E27FC236}">
                <a16:creationId xmlns:a16="http://schemas.microsoft.com/office/drawing/2014/main" id="{96011728-8A18-4FCA-8EA7-E623FDB261AD}"/>
              </a:ext>
            </a:extLst>
          </xdr:cNvPr>
          <xdr:cNvGraphicFramePr>
            <a:graphicFrameLocks/>
          </xdr:cNvGraphicFramePr>
        </xdr:nvGraphicFramePr>
        <xdr:xfrm>
          <a:off x="2780211" y="590550"/>
          <a:ext cx="4011112" cy="20955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0</xdr:rowOff>
    </xdr:from>
    <xdr:to>
      <xdr:col>15</xdr:col>
      <xdr:colOff>561975</xdr:colOff>
      <xdr:row>20</xdr:row>
      <xdr:rowOff>123825</xdr:rowOff>
    </xdr:to>
    <xdr:grpSp>
      <xdr:nvGrpSpPr>
        <xdr:cNvPr id="8" name="Grupo 9">
          <a:extLst>
            <a:ext uri="{FF2B5EF4-FFF2-40B4-BE49-F238E27FC236}">
              <a16:creationId xmlns:a16="http://schemas.microsoft.com/office/drawing/2014/main" id="{1E6C401F-C4FD-4F40-BAF0-A882E533AFC3}"/>
            </a:ext>
          </a:extLst>
        </xdr:cNvPr>
        <xdr:cNvGrpSpPr/>
      </xdr:nvGrpSpPr>
      <xdr:grpSpPr>
        <a:xfrm>
          <a:off x="3514725" y="647700"/>
          <a:ext cx="7058025" cy="2714625"/>
          <a:chOff x="2990850" y="361950"/>
          <a:chExt cx="7267575" cy="2743200"/>
        </a:xfrm>
      </xdr:grpSpPr>
      <xdr:graphicFrame macro="">
        <xdr:nvGraphicFramePr>
          <xdr:cNvPr id="9" name="Gráfico 8">
            <a:extLst>
              <a:ext uri="{FF2B5EF4-FFF2-40B4-BE49-F238E27FC236}">
                <a16:creationId xmlns:a16="http://schemas.microsoft.com/office/drawing/2014/main" id="{7458C7D8-BC37-4828-A90B-FFAFF80AC35E}"/>
              </a:ext>
            </a:extLst>
          </xdr:cNvPr>
          <xdr:cNvGraphicFramePr>
            <a:graphicFrameLocks/>
          </xdr:cNvGraphicFramePr>
        </xdr:nvGraphicFramePr>
        <xdr:xfrm>
          <a:off x="6515101" y="361950"/>
          <a:ext cx="3743324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3" name="Gráfico 12">
            <a:extLst>
              <a:ext uri="{FF2B5EF4-FFF2-40B4-BE49-F238E27FC236}">
                <a16:creationId xmlns:a16="http://schemas.microsoft.com/office/drawing/2014/main" id="{BE0450CB-1354-49C8-825C-E9D166750360}"/>
              </a:ext>
            </a:extLst>
          </xdr:cNvPr>
          <xdr:cNvGraphicFramePr>
            <a:graphicFrameLocks/>
          </xdr:cNvGraphicFramePr>
        </xdr:nvGraphicFramePr>
        <xdr:xfrm>
          <a:off x="2990850" y="361950"/>
          <a:ext cx="46863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6</xdr:col>
      <xdr:colOff>104775</xdr:colOff>
      <xdr:row>31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6</xdr:col>
      <xdr:colOff>104775</xdr:colOff>
      <xdr:row>31</xdr:row>
      <xdr:rowOff>152400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12</xdr:col>
      <xdr:colOff>304800</xdr:colOff>
      <xdr:row>19</xdr:row>
      <xdr:rowOff>66675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ASOLI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ários"/>
      <sheetName val="Cenários jan94"/>
      <sheetName val="Vendas"/>
      <sheetName val="Frota com. leve gas."/>
      <sheetName val="Frota com. leve alc."/>
      <sheetName val="Frota aut. gas."/>
      <sheetName val="Frota aut. alcool"/>
      <sheetName val="Frota aut. topo linha"/>
      <sheetName val="Frota total"/>
      <sheetName val="Cons. veíc."/>
      <sheetName val="Cons. gas. premium"/>
      <sheetName val="Ajustes"/>
      <sheetName val="Resultados"/>
      <sheetName val="Vendas sumario"/>
      <sheetName val="Gráfico vendas"/>
      <sheetName val="Demanda sumário"/>
      <sheetName val="caixa GAS (US$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A5C58-C563-4E95-9CBE-2E1F66258CCC}">
  <dimension ref="A1:C19"/>
  <sheetViews>
    <sheetView showGridLines="0" workbookViewId="0"/>
  </sheetViews>
  <sheetFormatPr defaultColWidth="8.85546875" defaultRowHeight="13.15"/>
  <cols>
    <col min="1" max="1" width="72.28515625" style="248" bestFit="1" customWidth="1"/>
    <col min="2" max="2" width="2.7109375" style="248" customWidth="1"/>
    <col min="3" max="3" width="71" style="248" bestFit="1" customWidth="1"/>
    <col min="4" max="16384" width="8.85546875" style="248"/>
  </cols>
  <sheetData>
    <row r="1" spans="1:3" ht="13.9" thickBot="1">
      <c r="A1" s="349"/>
      <c r="B1" s="349"/>
      <c r="C1" s="349"/>
    </row>
    <row r="2" spans="1:3" ht="17.45">
      <c r="A2" s="581" t="s">
        <v>0</v>
      </c>
      <c r="B2" s="589"/>
      <c r="C2" s="581" t="s">
        <v>1</v>
      </c>
    </row>
    <row r="3" spans="1:3" ht="13.9" thickBot="1">
      <c r="A3" s="582" t="s">
        <v>2</v>
      </c>
    </row>
    <row r="4" spans="1:3" ht="13.9" thickBot="1">
      <c r="A4" s="582" t="s">
        <v>3</v>
      </c>
      <c r="B4" s="587"/>
    </row>
    <row r="5" spans="1:3" ht="13.9" thickBot="1">
      <c r="A5" s="582" t="s">
        <v>4</v>
      </c>
      <c r="B5" s="587"/>
    </row>
    <row r="6" spans="1:3" ht="13.9" thickBot="1">
      <c r="A6" s="582" t="s">
        <v>5</v>
      </c>
      <c r="B6" s="587"/>
    </row>
    <row r="7" spans="1:3" ht="13.9" thickBot="1">
      <c r="A7" s="582" t="s">
        <v>6</v>
      </c>
      <c r="B7" s="587"/>
    </row>
    <row r="8" spans="1:3" ht="13.9" thickBot="1">
      <c r="A8" s="582" t="s">
        <v>7</v>
      </c>
      <c r="B8" s="587"/>
    </row>
    <row r="9" spans="1:3" ht="13.9" thickBot="1">
      <c r="A9" s="582" t="s">
        <v>8</v>
      </c>
      <c r="B9" s="587"/>
    </row>
    <row r="10" spans="1:3" ht="13.9" thickBot="1">
      <c r="A10" s="582" t="s">
        <v>9</v>
      </c>
      <c r="B10" s="587"/>
    </row>
    <row r="11" spans="1:3" ht="13.9" thickBot="1">
      <c r="A11" s="582" t="s">
        <v>10</v>
      </c>
      <c r="B11" s="587"/>
    </row>
    <row r="12" spans="1:3" ht="13.9" thickBot="1">
      <c r="A12" s="582" t="s">
        <v>11</v>
      </c>
      <c r="B12" s="587"/>
    </row>
    <row r="13" spans="1:3" ht="13.9" thickBot="1">
      <c r="A13" s="582" t="s">
        <v>12</v>
      </c>
      <c r="B13" s="587"/>
    </row>
    <row r="14" spans="1:3" ht="13.9" thickBot="1">
      <c r="A14" s="582" t="s">
        <v>13</v>
      </c>
      <c r="B14" s="587"/>
    </row>
    <row r="15" spans="1:3" ht="13.9" thickBot="1">
      <c r="A15" s="585" t="s">
        <v>14</v>
      </c>
      <c r="B15" s="586"/>
      <c r="C15" s="248" t="s">
        <v>15</v>
      </c>
    </row>
    <row r="16" spans="1:3" ht="13.9" thickBot="1">
      <c r="A16" s="584" t="s">
        <v>16</v>
      </c>
      <c r="B16" s="586"/>
      <c r="C16" s="248" t="s">
        <v>17</v>
      </c>
    </row>
    <row r="17" spans="1:3" ht="13.9" thickBot="1">
      <c r="A17" s="584" t="s">
        <v>18</v>
      </c>
      <c r="B17" s="586"/>
      <c r="C17" s="248" t="s">
        <v>19</v>
      </c>
    </row>
    <row r="18" spans="1:3" ht="13.9" thickBot="1">
      <c r="A18" s="582" t="s">
        <v>20</v>
      </c>
      <c r="B18" s="587"/>
    </row>
    <row r="19" spans="1:3" ht="13.9" thickBot="1">
      <c r="A19" s="583" t="s">
        <v>21</v>
      </c>
      <c r="B19" s="588"/>
      <c r="C19" s="349"/>
    </row>
  </sheetData>
  <hyperlinks>
    <hyperlink ref="A3" location="'T11-1'!A1" display="Tabela 11-1: Indicadores: economia e energia " xr:uid="{3068FBA3-9274-4A7B-ACCA-CF34C31704E7}"/>
    <hyperlink ref="A4" location="'G11-1'!A1" display="Gráfico 11-1: Oferta interna de energia per capita" xr:uid="{E201FFA1-F39A-49FC-9968-4D743E37E17E}"/>
    <hyperlink ref="A5" location="'T11-2'!A1" display="Tabela 11-2: Evolução da oferta interna de energia no horizonte decenal " xr:uid="{048A6557-20FA-47CB-920E-669D00FD9449}"/>
    <hyperlink ref="A6" location="'G11-2'!A1" display="Gráfico 11-2: Matriz energética brasileira: energia renovável e não-renovável" xr:uid="{646FD6AE-64BE-47A4-953E-CF24C6054A9A}"/>
    <hyperlink ref="A7" location="'G11-3'!A1" display="Gráfico 11-3: Evolução da composição da oferta interna de energia por fonte" xr:uid="{471C6457-0C88-44B5-BD1A-104BC468C4EB}"/>
    <hyperlink ref="A8" location="'T11-3'!A1" display="Tabela 11-3: Geração total de eletricidade" xr:uid="{12A1F1B4-7C25-4720-A94E-AAFB86364089}"/>
    <hyperlink ref="A9" location="'G11-4'!A1" display="Gráfico 11-4: Evolução da composição da capacidade instalada total por fonte" xr:uid="{F82256D2-DA4C-48D6-B68A-0D83B625E3EF}"/>
    <hyperlink ref="A10" location="'T11-4'!A1" display="Tabela 11-4: Evolução da capacidade instalada total no Brasil" xr:uid="{C7B296BA-99F2-4BB3-9442-8A7B4ED49D69}"/>
    <hyperlink ref="A11" location="'G11-5'!A1" display="Gráfico 11-5: Capacidade instalada de geração elétrica: renovável versus não-renovável" xr:uid="{50BF9F03-3CED-4232-9DAA-5F05FB9148B5}"/>
    <hyperlink ref="A12" location="'T11-5'!A1" display="Tabela 11-5: Evolução da oferta de energia primária" xr:uid="{CDD06385-1C1A-4315-B180-2E57040F82B1}"/>
    <hyperlink ref="A13" location="'T11-6'!A1" display="Tabela 11-6: Evolução da oferta de petróleo e derivados" xr:uid="{0E27C786-4390-4AB5-871C-B02E9C288FD9}"/>
    <hyperlink ref="A14" location="'T11-7'!A1" display="Tabela 11-7: Balanço de gás natural seco" xr:uid="{59B40570-CF0D-4F09-9B1B-B601F066CF91}"/>
    <hyperlink ref="A15" location="'T11-8'!A1" display="Tabela 11-8: Síntese da Expansão Prevista no PDE 2031" xr:uid="{09874170-70C9-4DA3-B6B1-9C8C84F509F4}"/>
    <hyperlink ref="A16" location="'T11-9'!A1" display="Tabela 11-9: Elenco dos Projetos Hidrelétricos Disponibilizados ao PDE 2031" xr:uid="{EE936452-6DFD-4B53-ADBC-5B7F9C94113D}"/>
    <hyperlink ref="A17" location="'T11-10'!A1" display="Tabela 11-10: Síntese dos Resultados" xr:uid="{87FFA35D-039C-4EEC-9615-7B4CB2720AF9}"/>
    <hyperlink ref="A18" location="'T11-11'!A1" display="Tabela 11-11: Síntese das estimativas de investimentos" xr:uid="{17D0935A-3790-47A2-992E-AB6C38D245EB}"/>
    <hyperlink ref="A19" location="'T11-12'!A1" display="Tabela 11-12: Projeção da Matriz Energética Nacional – Ano 2031" xr:uid="{EF0E4645-F454-40A5-B362-077BA7393C69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70C0"/>
  </sheetPr>
  <dimension ref="B1:E11"/>
  <sheetViews>
    <sheetView workbookViewId="0">
      <selection activeCell="E42" sqref="E42"/>
    </sheetView>
  </sheetViews>
  <sheetFormatPr defaultRowHeight="13.15"/>
  <cols>
    <col min="2" max="2" width="30.42578125" bestFit="1" customWidth="1"/>
  </cols>
  <sheetData>
    <row r="1" spans="2:5" ht="12.75" customHeight="1"/>
    <row r="3" spans="2:5" ht="14.45">
      <c r="B3" s="238" t="s">
        <v>114</v>
      </c>
      <c r="C3" s="239"/>
    </row>
    <row r="4" spans="2:5">
      <c r="B4" s="240" t="s">
        <v>115</v>
      </c>
      <c r="C4" s="241">
        <v>2.3483152101206786</v>
      </c>
    </row>
    <row r="5" spans="2:5">
      <c r="B5" s="240" t="s">
        <v>116</v>
      </c>
      <c r="C5" s="241">
        <v>3.0617912668901726</v>
      </c>
    </row>
    <row r="6" spans="2:5">
      <c r="B6" s="240" t="s">
        <v>117</v>
      </c>
      <c r="C6" s="241">
        <v>2.2306972648217984</v>
      </c>
    </row>
    <row r="7" spans="2:5">
      <c r="B7" s="240" t="s">
        <v>118</v>
      </c>
      <c r="C7" s="241">
        <v>1.9969685842487737</v>
      </c>
    </row>
    <row r="8" spans="2:5">
      <c r="B8" s="240" t="s">
        <v>119</v>
      </c>
      <c r="C8" s="241">
        <v>2.1975218672710017</v>
      </c>
      <c r="E8" t="s">
        <v>120</v>
      </c>
    </row>
    <row r="9" spans="2:5" ht="14.45">
      <c r="B9" s="242" t="s">
        <v>121</v>
      </c>
      <c r="C9" s="244">
        <f>E9/'T11-1'!K10</f>
        <v>1.4626720489444496</v>
      </c>
      <c r="E9">
        <v>417</v>
      </c>
    </row>
    <row r="10" spans="2:5" ht="14.45">
      <c r="B10" s="242" t="s">
        <v>122</v>
      </c>
      <c r="C10" s="245">
        <f>E10/'T11-1'!P10</f>
        <v>1.3089000298903974</v>
      </c>
      <c r="E10">
        <v>416</v>
      </c>
    </row>
    <row r="11" spans="2:5" ht="14.45">
      <c r="B11" s="242" t="s">
        <v>123</v>
      </c>
      <c r="C11" s="244">
        <f>E11/'T11-1'!U10</f>
        <v>1.4001171820822929</v>
      </c>
      <c r="E11">
        <v>513</v>
      </c>
    </row>
  </sheetData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70C0"/>
  </sheetPr>
  <dimension ref="B1:E11"/>
  <sheetViews>
    <sheetView workbookViewId="0">
      <selection activeCell="I42" sqref="I42"/>
    </sheetView>
  </sheetViews>
  <sheetFormatPr defaultRowHeight="13.15"/>
  <cols>
    <col min="2" max="2" width="30.42578125" bestFit="1" customWidth="1"/>
  </cols>
  <sheetData>
    <row r="1" spans="2:5" ht="12.75" customHeight="1"/>
    <row r="3" spans="2:5" ht="14.45">
      <c r="B3" s="238" t="s">
        <v>124</v>
      </c>
      <c r="C3" s="239"/>
    </row>
    <row r="4" spans="2:5">
      <c r="B4" s="240" t="s">
        <v>115</v>
      </c>
      <c r="C4" s="241">
        <v>0.3</v>
      </c>
    </row>
    <row r="5" spans="2:5">
      <c r="B5" s="240" t="s">
        <v>116</v>
      </c>
      <c r="C5" s="241">
        <v>0.47</v>
      </c>
    </row>
    <row r="6" spans="2:5">
      <c r="B6" s="240" t="s">
        <v>117</v>
      </c>
      <c r="C6" s="241">
        <v>0.28999999999999998</v>
      </c>
    </row>
    <row r="7" spans="2:5">
      <c r="B7" s="240" t="s">
        <v>118</v>
      </c>
      <c r="C7" s="241">
        <v>0.18</v>
      </c>
    </row>
    <row r="8" spans="2:5">
      <c r="B8" s="240" t="s">
        <v>119</v>
      </c>
      <c r="C8" s="241">
        <v>0.24</v>
      </c>
      <c r="E8" t="s">
        <v>120</v>
      </c>
    </row>
    <row r="9" spans="2:5" ht="14.45">
      <c r="B9" s="242" t="s">
        <v>121</v>
      </c>
      <c r="C9" s="243">
        <v>0.139517677158327</v>
      </c>
      <c r="E9">
        <v>417</v>
      </c>
    </row>
    <row r="10" spans="2:5" ht="14.45">
      <c r="B10" s="242" t="s">
        <v>122</v>
      </c>
      <c r="C10" s="243">
        <v>0.12099871822430112</v>
      </c>
      <c r="E10">
        <v>416</v>
      </c>
    </row>
    <row r="11" spans="2:5" ht="14.45">
      <c r="B11" s="242" t="s">
        <v>123</v>
      </c>
      <c r="C11" s="243">
        <v>0.12867040470086838</v>
      </c>
      <c r="E11">
        <v>513</v>
      </c>
    </row>
  </sheetData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A1:D7"/>
  <sheetViews>
    <sheetView showGridLines="0" workbookViewId="0"/>
  </sheetViews>
  <sheetFormatPr defaultColWidth="8.85546875" defaultRowHeight="13.15"/>
  <cols>
    <col min="1" max="1" width="24.28515625" style="248" customWidth="1"/>
    <col min="2" max="12" width="8.85546875" style="248"/>
    <col min="13" max="13" width="15.7109375" style="248" bestFit="1" customWidth="1"/>
    <col min="14" max="16384" width="8.85546875" style="248"/>
  </cols>
  <sheetData>
    <row r="1" spans="1:4">
      <c r="A1" s="591" t="s">
        <v>22</v>
      </c>
    </row>
    <row r="2" spans="1:4">
      <c r="A2" s="248" t="s">
        <v>125</v>
      </c>
    </row>
    <row r="4" spans="1:4" ht="13.9" thickBot="1">
      <c r="A4" s="349" t="s">
        <v>43</v>
      </c>
      <c r="B4" s="349"/>
      <c r="C4" s="349"/>
      <c r="D4" s="349"/>
    </row>
    <row r="5" spans="1:4">
      <c r="A5" s="466"/>
      <c r="B5" s="467">
        <v>2021</v>
      </c>
      <c r="C5" s="467">
        <v>2026</v>
      </c>
      <c r="D5" s="467">
        <v>2031</v>
      </c>
    </row>
    <row r="6" spans="1:4">
      <c r="A6" s="468" t="s">
        <v>70</v>
      </c>
      <c r="B6" s="469">
        <v>0.84903034176384229</v>
      </c>
      <c r="C6" s="469">
        <v>0.85509660277600408</v>
      </c>
      <c r="D6" s="469">
        <v>0.8317792450713436</v>
      </c>
    </row>
    <row r="7" spans="1:4" ht="13.9" thickBot="1">
      <c r="A7" s="470" t="s">
        <v>71</v>
      </c>
      <c r="B7" s="471">
        <v>0.15096965823615768</v>
      </c>
      <c r="C7" s="471">
        <v>0.14490339722399598</v>
      </c>
      <c r="D7" s="471">
        <v>0.16822075492865629</v>
      </c>
    </row>
  </sheetData>
  <hyperlinks>
    <hyperlink ref="A1" location="'Sumário Cap.XI'!A1" display="Voltar para Sumário" xr:uid="{09FD3C86-94B0-42EC-A9E7-3A982E4A8D5C}"/>
  </hyperlinks>
  <pageMargins left="0.511811024" right="0.511811024" top="0.78740157499999996" bottom="0.78740157499999996" header="0.31496062000000002" footer="0.31496062000000002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678E"/>
  </sheetPr>
  <dimension ref="A1:S13"/>
  <sheetViews>
    <sheetView showGridLines="0" workbookViewId="0">
      <selection activeCell="J22" sqref="J22"/>
    </sheetView>
  </sheetViews>
  <sheetFormatPr defaultColWidth="8.85546875" defaultRowHeight="13.15"/>
  <cols>
    <col min="1" max="1" width="38.85546875" style="248" bestFit="1" customWidth="1"/>
    <col min="2" max="4" width="10.7109375" style="248" hidden="1" customWidth="1"/>
    <col min="5" max="5" width="10.7109375" style="248" customWidth="1"/>
    <col min="6" max="9" width="10.7109375" style="248" hidden="1" customWidth="1"/>
    <col min="10" max="10" width="10.7109375" style="248" customWidth="1"/>
    <col min="11" max="14" width="10.7109375" style="248" hidden="1" customWidth="1"/>
    <col min="15" max="15" width="10.7109375" style="248" customWidth="1"/>
    <col min="16" max="16" width="12" style="248" customWidth="1"/>
    <col min="17" max="17" width="11.42578125" style="248" customWidth="1"/>
    <col min="18" max="18" width="10.7109375" style="248" customWidth="1"/>
    <col min="19" max="16384" width="8.85546875" style="248"/>
  </cols>
  <sheetData>
    <row r="1" spans="1:19">
      <c r="A1" s="591" t="s">
        <v>22</v>
      </c>
    </row>
    <row r="2" spans="1:19">
      <c r="A2" s="295" t="s">
        <v>126</v>
      </c>
    </row>
    <row r="4" spans="1:19" ht="12.75" customHeight="1">
      <c r="A4" s="616" t="s">
        <v>24</v>
      </c>
      <c r="B4" s="472">
        <v>2018</v>
      </c>
      <c r="C4" s="472">
        <v>2019</v>
      </c>
      <c r="D4" s="472">
        <v>2020</v>
      </c>
      <c r="E4" s="472">
        <v>2021</v>
      </c>
      <c r="F4" s="472">
        <v>2022</v>
      </c>
      <c r="G4" s="472">
        <v>2023</v>
      </c>
      <c r="H4" s="472">
        <v>2024</v>
      </c>
      <c r="I4" s="472">
        <v>2025</v>
      </c>
      <c r="J4" s="472">
        <v>2026</v>
      </c>
      <c r="K4" s="472">
        <v>2027</v>
      </c>
      <c r="L4" s="472">
        <v>2028</v>
      </c>
      <c r="M4" s="472">
        <v>2029</v>
      </c>
      <c r="N4" s="472">
        <v>2030</v>
      </c>
      <c r="O4" s="472">
        <v>2031</v>
      </c>
      <c r="P4" s="473" t="s">
        <v>127</v>
      </c>
      <c r="Q4" s="473" t="s">
        <v>128</v>
      </c>
      <c r="R4" s="473" t="s">
        <v>129</v>
      </c>
      <c r="S4" s="377"/>
    </row>
    <row r="5" spans="1:19">
      <c r="A5" s="617"/>
      <c r="B5" s="612"/>
      <c r="C5" s="612"/>
      <c r="D5" s="612"/>
      <c r="E5" s="612"/>
      <c r="F5" s="612"/>
      <c r="G5" s="612"/>
      <c r="H5" s="612"/>
      <c r="I5" s="612"/>
      <c r="J5" s="612"/>
      <c r="K5" s="612"/>
      <c r="L5" s="474"/>
      <c r="M5" s="474"/>
      <c r="N5" s="474"/>
      <c r="O5" s="474"/>
      <c r="P5" s="614" t="s">
        <v>130</v>
      </c>
      <c r="Q5" s="614"/>
      <c r="R5" s="614"/>
      <c r="S5" s="377"/>
    </row>
    <row r="6" spans="1:19" ht="13.9" thickBot="1">
      <c r="A6" s="618"/>
      <c r="B6" s="613"/>
      <c r="C6" s="613"/>
      <c r="D6" s="613"/>
      <c r="E6" s="613"/>
      <c r="F6" s="613"/>
      <c r="G6" s="613"/>
      <c r="H6" s="613"/>
      <c r="I6" s="613"/>
      <c r="J6" s="613"/>
      <c r="K6" s="613"/>
      <c r="L6" s="475"/>
      <c r="M6" s="475"/>
      <c r="N6" s="475"/>
      <c r="O6" s="475"/>
      <c r="P6" s="615"/>
      <c r="Q6" s="615"/>
      <c r="R6" s="615"/>
      <c r="S6" s="377"/>
    </row>
    <row r="7" spans="1:19" ht="15.75" customHeight="1" thickTop="1">
      <c r="A7" s="250" t="s">
        <v>131</v>
      </c>
      <c r="B7" s="476">
        <f>B8+B9</f>
        <v>299433.68766234221</v>
      </c>
      <c r="C7" s="476">
        <f t="shared" ref="C7:D7" si="0">C8+C9</f>
        <v>301788.08475902519</v>
      </c>
      <c r="D7" s="476">
        <f t="shared" si="0"/>
        <v>260440.32130495482</v>
      </c>
      <c r="E7" s="493">
        <v>313036.99265907728</v>
      </c>
      <c r="F7" s="493">
        <v>321737.01136060292</v>
      </c>
      <c r="G7" s="493">
        <v>328874.73193842347</v>
      </c>
      <c r="H7" s="493">
        <v>340843.24852772709</v>
      </c>
      <c r="I7" s="493">
        <v>353870.45971644414</v>
      </c>
      <c r="J7" s="493">
        <v>368150.6275591692</v>
      </c>
      <c r="K7" s="493">
        <v>384636.63596808247</v>
      </c>
      <c r="L7" s="493">
        <v>396663.93255635339</v>
      </c>
      <c r="M7" s="493">
        <v>406520.19933353533</v>
      </c>
      <c r="N7" s="493">
        <v>415976.88513262174</v>
      </c>
      <c r="O7" s="493">
        <v>423368.16547706124</v>
      </c>
      <c r="P7" s="552">
        <v>3.296587991011668</v>
      </c>
      <c r="Q7" s="552">
        <v>2.834426584284766</v>
      </c>
      <c r="R7" s="552">
        <v>3.0652482370697065</v>
      </c>
      <c r="S7" s="377"/>
    </row>
    <row r="8" spans="1:19" ht="15.75" customHeight="1">
      <c r="A8" s="251" t="s">
        <v>132</v>
      </c>
      <c r="B8" s="476">
        <v>256277.31568170857</v>
      </c>
      <c r="C8" s="476">
        <v>258129.92270631681</v>
      </c>
      <c r="D8" s="476">
        <v>254499.05702929044</v>
      </c>
      <c r="E8" s="476">
        <v>261331.38704143409</v>
      </c>
      <c r="F8" s="476">
        <v>268635.41579480132</v>
      </c>
      <c r="G8" s="476">
        <v>275170.83269693679</v>
      </c>
      <c r="H8" s="476">
        <v>282964.32737015997</v>
      </c>
      <c r="I8" s="476">
        <v>289893.12852996902</v>
      </c>
      <c r="J8" s="476">
        <v>297159.29127369268</v>
      </c>
      <c r="K8" s="476">
        <v>304368.66320547496</v>
      </c>
      <c r="L8" s="476">
        <v>312242.38500693493</v>
      </c>
      <c r="M8" s="476">
        <v>319030.67060564779</v>
      </c>
      <c r="N8" s="476">
        <v>326812.1716593575</v>
      </c>
      <c r="O8" s="476">
        <v>333117.5353416421</v>
      </c>
      <c r="P8" s="477">
        <v>2.602879230938715</v>
      </c>
      <c r="Q8" s="477">
        <v>2.3108366514967171</v>
      </c>
      <c r="R8" s="477">
        <v>2.4567538865535976</v>
      </c>
      <c r="S8" s="377"/>
    </row>
    <row r="9" spans="1:19" ht="15.75" customHeight="1">
      <c r="A9" s="410" t="s">
        <v>133</v>
      </c>
      <c r="B9" s="478">
        <v>43156.371980633667</v>
      </c>
      <c r="C9" s="478">
        <v>43658.162052708394</v>
      </c>
      <c r="D9" s="478">
        <v>5941.2642756643763</v>
      </c>
      <c r="E9" s="478">
        <v>51705.605617643181</v>
      </c>
      <c r="F9" s="478">
        <v>53101.595565801574</v>
      </c>
      <c r="G9" s="478">
        <v>53703.899241486673</v>
      </c>
      <c r="H9" s="478">
        <v>57878.921157567151</v>
      </c>
      <c r="I9" s="478">
        <v>63977.331186475116</v>
      </c>
      <c r="J9" s="478">
        <v>70991.336285476529</v>
      </c>
      <c r="K9" s="478">
        <v>80267.972762607504</v>
      </c>
      <c r="L9" s="478">
        <v>84421.547549418465</v>
      </c>
      <c r="M9" s="478">
        <v>87489.528727887548</v>
      </c>
      <c r="N9" s="478">
        <v>89164.713473264259</v>
      </c>
      <c r="O9" s="478">
        <v>90250.630135419124</v>
      </c>
      <c r="P9" s="479">
        <v>6.5451154583762161</v>
      </c>
      <c r="Q9" s="479">
        <v>4.9177524026130737</v>
      </c>
      <c r="R9" s="479">
        <v>5.7283029437706245</v>
      </c>
      <c r="S9" s="377"/>
    </row>
    <row r="10" spans="1:19" ht="15.75" customHeight="1">
      <c r="A10" s="480" t="s">
        <v>134</v>
      </c>
      <c r="B10" s="481">
        <v>307252.08914471196</v>
      </c>
      <c r="C10" s="481">
        <v>319786.73299174447</v>
      </c>
      <c r="D10" s="481">
        <v>294739.33700983645</v>
      </c>
      <c r="E10" s="481">
        <v>340521.67081252643</v>
      </c>
      <c r="F10" s="481">
        <v>373127.17398449732</v>
      </c>
      <c r="G10" s="481">
        <v>385217.94259506027</v>
      </c>
      <c r="H10" s="481">
        <v>414750.85852729023</v>
      </c>
      <c r="I10" s="481">
        <v>431696.4658989209</v>
      </c>
      <c r="J10" s="481">
        <v>458613.08357200975</v>
      </c>
      <c r="K10" s="481">
        <v>496899.31457965495</v>
      </c>
      <c r="L10" s="481">
        <v>525846.32990494033</v>
      </c>
      <c r="M10" s="481">
        <v>540517.57495372649</v>
      </c>
      <c r="N10" s="481">
        <v>550928.55209617957</v>
      </c>
      <c r="O10" s="481">
        <v>552327.18747303367</v>
      </c>
      <c r="P10" s="553">
        <v>6.1354185590065002</v>
      </c>
      <c r="Q10" s="553">
        <v>3.7886818187460314</v>
      </c>
      <c r="R10" s="553">
        <v>4.955491454807448</v>
      </c>
      <c r="S10" s="377"/>
    </row>
    <row r="11" spans="1:19" ht="15.75" customHeight="1" thickBot="1">
      <c r="A11" s="482" t="s">
        <v>135</v>
      </c>
      <c r="B11" s="483">
        <f>B10-B7</f>
        <v>7818.4014823697507</v>
      </c>
      <c r="C11" s="483">
        <f t="shared" ref="C11:D11" si="1">C10-C7</f>
        <v>17998.648232719279</v>
      </c>
      <c r="D11" s="483">
        <f t="shared" si="1"/>
        <v>34299.015704881633</v>
      </c>
      <c r="E11" s="483">
        <v>27484.678153449146</v>
      </c>
      <c r="F11" s="483">
        <v>51390.162623894401</v>
      </c>
      <c r="G11" s="483">
        <v>56343.210656636802</v>
      </c>
      <c r="H11" s="483">
        <v>73907.609999563138</v>
      </c>
      <c r="I11" s="483">
        <v>77826.006182476762</v>
      </c>
      <c r="J11" s="483">
        <v>90462.456012840557</v>
      </c>
      <c r="K11" s="483">
        <v>112262.67861157248</v>
      </c>
      <c r="L11" s="483">
        <v>129182.39734858694</v>
      </c>
      <c r="M11" s="483">
        <v>133997.37562019116</v>
      </c>
      <c r="N11" s="483">
        <v>134951.66696355783</v>
      </c>
      <c r="O11" s="483">
        <v>128959.02199597243</v>
      </c>
      <c r="P11" s="554">
        <v>26.904067944634626</v>
      </c>
      <c r="Q11" s="554">
        <v>7.348670785999567</v>
      </c>
      <c r="R11" s="554">
        <v>16.717535148720053</v>
      </c>
      <c r="S11" s="377"/>
    </row>
    <row r="12" spans="1:19" s="488" customFormat="1" ht="15.75" hidden="1" customHeight="1" thickTop="1" thickBot="1">
      <c r="A12" s="484" t="s">
        <v>136</v>
      </c>
      <c r="B12" s="485">
        <f>B11/B10</f>
        <v>2.5446210973320282E-2</v>
      </c>
      <c r="C12" s="485">
        <f t="shared" ref="C12:M12" si="2">C11/C10</f>
        <v>5.6283286252478547E-2</v>
      </c>
      <c r="D12" s="485">
        <f t="shared" si="2"/>
        <v>0.11637067536640675</v>
      </c>
      <c r="E12" s="485">
        <f t="shared" si="2"/>
        <v>8.0713447951395678E-2</v>
      </c>
      <c r="F12" s="485">
        <f t="shared" si="2"/>
        <v>0.13772827659566161</v>
      </c>
      <c r="G12" s="485">
        <f t="shared" si="2"/>
        <v>0.14626320434888099</v>
      </c>
      <c r="H12" s="485">
        <f t="shared" si="2"/>
        <v>0.17819760581568533</v>
      </c>
      <c r="I12" s="485">
        <f t="shared" si="2"/>
        <v>0.18027946098752462</v>
      </c>
      <c r="J12" s="485">
        <f t="shared" si="2"/>
        <v>0.19725223560621874</v>
      </c>
      <c r="K12" s="485">
        <f t="shared" si="2"/>
        <v>0.22592641067846819</v>
      </c>
      <c r="L12" s="485">
        <f t="shared" si="2"/>
        <v>0.24566568216220094</v>
      </c>
      <c r="M12" s="485">
        <f t="shared" si="2"/>
        <v>0.2479056775011666</v>
      </c>
      <c r="N12" s="485"/>
      <c r="O12" s="485"/>
      <c r="P12" s="486" t="s">
        <v>137</v>
      </c>
      <c r="Q12" s="486" t="s">
        <v>137</v>
      </c>
      <c r="R12" s="486" t="s">
        <v>137</v>
      </c>
      <c r="S12" s="487"/>
    </row>
    <row r="13" spans="1:19" ht="13.9" thickTop="1">
      <c r="A13" s="295" t="s">
        <v>138</v>
      </c>
    </row>
  </sheetData>
  <mergeCells count="3">
    <mergeCell ref="B5:K6"/>
    <mergeCell ref="P5:R6"/>
    <mergeCell ref="A4:A6"/>
  </mergeCells>
  <phoneticPr fontId="7" type="noConversion"/>
  <hyperlinks>
    <hyperlink ref="A1" location="'Sumário Cap.XI'!A1" display="Voltar para Sumário" xr:uid="{EEF5A00F-E2F4-4AFB-A1EA-3BA04B502E67}"/>
  </hyperlink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678E"/>
  </sheetPr>
  <dimension ref="A1:V21"/>
  <sheetViews>
    <sheetView showGridLines="0" zoomScaleNormal="100" workbookViewId="0">
      <selection activeCell="T3" sqref="T3"/>
    </sheetView>
  </sheetViews>
  <sheetFormatPr defaultColWidth="8.85546875" defaultRowHeight="12.6" customHeight="1"/>
  <cols>
    <col min="1" max="1" width="40.5703125" style="248" customWidth="1"/>
    <col min="2" max="4" width="9.140625" style="248" hidden="1" customWidth="1"/>
    <col min="5" max="5" width="9.140625" style="248" customWidth="1"/>
    <col min="6" max="9" width="9.140625" style="248" hidden="1" customWidth="1"/>
    <col min="10" max="10" width="9.140625" style="248" customWidth="1"/>
    <col min="11" max="14" width="9.140625" style="248" hidden="1" customWidth="1"/>
    <col min="15" max="16384" width="8.85546875" style="248"/>
  </cols>
  <sheetData>
    <row r="1" spans="1:22" ht="12.6" customHeight="1">
      <c r="A1" s="591" t="s">
        <v>22</v>
      </c>
    </row>
    <row r="2" spans="1:22" ht="12.6" customHeight="1">
      <c r="A2" s="295" t="s">
        <v>139</v>
      </c>
    </row>
    <row r="3" spans="1:22" ht="12.6" customHeight="1" thickBot="1">
      <c r="A3" s="349"/>
    </row>
    <row r="4" spans="1:22" ht="12.6" customHeight="1">
      <c r="A4" s="617" t="s">
        <v>24</v>
      </c>
      <c r="B4" s="489">
        <v>2018</v>
      </c>
      <c r="C4" s="489">
        <v>2019</v>
      </c>
      <c r="D4" s="489">
        <v>2020</v>
      </c>
      <c r="E4" s="489">
        <v>2021</v>
      </c>
      <c r="F4" s="489">
        <v>2022</v>
      </c>
      <c r="G4" s="489">
        <v>2023</v>
      </c>
      <c r="H4" s="489">
        <v>2024</v>
      </c>
      <c r="I4" s="489">
        <v>2025</v>
      </c>
      <c r="J4" s="489">
        <v>2026</v>
      </c>
      <c r="K4" s="490">
        <v>2027</v>
      </c>
      <c r="L4" s="490">
        <v>2028</v>
      </c>
      <c r="M4" s="490">
        <v>2029</v>
      </c>
      <c r="N4" s="490">
        <v>2030</v>
      </c>
      <c r="O4" s="490">
        <v>2031</v>
      </c>
      <c r="P4" s="619" t="s">
        <v>140</v>
      </c>
      <c r="Q4" s="619"/>
      <c r="R4" s="619"/>
      <c r="S4" s="397"/>
      <c r="T4" s="397"/>
    </row>
    <row r="5" spans="1:22" ht="12.6" customHeight="1">
      <c r="A5" s="617"/>
      <c r="B5" s="612"/>
      <c r="C5" s="612"/>
      <c r="D5" s="612"/>
      <c r="E5" s="612"/>
      <c r="F5" s="612"/>
      <c r="G5" s="612"/>
      <c r="H5" s="612"/>
      <c r="I5" s="612"/>
      <c r="J5" s="612"/>
      <c r="K5" s="491"/>
      <c r="L5" s="491"/>
      <c r="M5" s="491"/>
      <c r="N5" s="491"/>
      <c r="O5" s="491"/>
      <c r="P5" s="492" t="s">
        <v>26</v>
      </c>
      <c r="Q5" s="492" t="s">
        <v>27</v>
      </c>
      <c r="R5" s="492" t="s">
        <v>26</v>
      </c>
      <c r="S5" s="397"/>
      <c r="T5" s="397"/>
    </row>
    <row r="6" spans="1:22" ht="12.6" customHeight="1" thickBot="1">
      <c r="A6" s="618"/>
      <c r="B6" s="613"/>
      <c r="C6" s="613"/>
      <c r="D6" s="613"/>
      <c r="E6" s="613"/>
      <c r="F6" s="613"/>
      <c r="G6" s="613"/>
      <c r="H6" s="613"/>
      <c r="I6" s="613"/>
      <c r="J6" s="613"/>
      <c r="K6" s="475"/>
      <c r="L6" s="475"/>
      <c r="M6" s="475"/>
      <c r="N6" s="475"/>
      <c r="O6" s="475"/>
      <c r="P6" s="475">
        <v>2026</v>
      </c>
      <c r="Q6" s="475">
        <v>2031</v>
      </c>
      <c r="R6" s="475">
        <v>2031</v>
      </c>
      <c r="S6" s="397"/>
      <c r="T6" s="397"/>
    </row>
    <row r="7" spans="1:22" ht="12.6" customHeight="1" thickTop="1">
      <c r="A7" s="250" t="s">
        <v>141</v>
      </c>
      <c r="B7" s="493">
        <f t="shared" ref="B7:D7" si="0">B8+B9</f>
        <v>110985.91086438601</v>
      </c>
      <c r="C7" s="493">
        <f t="shared" si="0"/>
        <v>113119.03768803095</v>
      </c>
      <c r="D7" s="493">
        <f t="shared" si="0"/>
        <v>107113.78320492367</v>
      </c>
      <c r="E7" s="493">
        <v>112480.92298314163</v>
      </c>
      <c r="F7" s="493">
        <v>115237.50703906096</v>
      </c>
      <c r="G7" s="493">
        <v>116529.10016249509</v>
      </c>
      <c r="H7" s="493">
        <v>118197.04353777092</v>
      </c>
      <c r="I7" s="493">
        <v>119040.20232440153</v>
      </c>
      <c r="J7" s="494">
        <v>121140.13861971162</v>
      </c>
      <c r="K7" s="494">
        <v>122720.15551680751</v>
      </c>
      <c r="L7" s="494">
        <v>125383.33640988629</v>
      </c>
      <c r="M7" s="494">
        <v>127751.69185055113</v>
      </c>
      <c r="N7" s="494">
        <v>130993.42304713678</v>
      </c>
      <c r="O7" s="495">
        <v>133273.98633232299</v>
      </c>
      <c r="P7" s="496">
        <v>1.4943435543927519</v>
      </c>
      <c r="Q7" s="496">
        <v>1.9275216029558395</v>
      </c>
      <c r="R7" s="496">
        <v>1.7107019699411419</v>
      </c>
      <c r="S7" s="397"/>
      <c r="T7" s="397"/>
    </row>
    <row r="8" spans="1:22" ht="12.6" customHeight="1">
      <c r="A8" s="251" t="s">
        <v>132</v>
      </c>
      <c r="B8" s="476">
        <v>104292.93426641492</v>
      </c>
      <c r="C8" s="476">
        <v>106335.28215419481</v>
      </c>
      <c r="D8" s="423">
        <v>101881.76986696161</v>
      </c>
      <c r="E8" s="476">
        <v>106327.78162256174</v>
      </c>
      <c r="F8" s="476">
        <v>108904.53092085876</v>
      </c>
      <c r="G8" s="476">
        <v>109889.72467305472</v>
      </c>
      <c r="H8" s="476">
        <v>111252.67164288695</v>
      </c>
      <c r="I8" s="476">
        <v>112196.37413121946</v>
      </c>
      <c r="J8" s="476">
        <v>114139.99539351455</v>
      </c>
      <c r="K8" s="476">
        <v>115515.04742259282</v>
      </c>
      <c r="L8" s="476">
        <v>117973.80911167586</v>
      </c>
      <c r="M8" s="476">
        <v>120117.19078768158</v>
      </c>
      <c r="N8" s="476">
        <v>123134.8858887263</v>
      </c>
      <c r="O8" s="497">
        <v>125215.19092877902</v>
      </c>
      <c r="P8" s="477">
        <v>1.4280835072568943</v>
      </c>
      <c r="Q8" s="477">
        <v>1.8694200920652326</v>
      </c>
      <c r="R8" s="477">
        <v>1.64851227604772</v>
      </c>
      <c r="S8" s="397"/>
      <c r="T8" s="397"/>
      <c r="U8" s="498"/>
      <c r="V8" s="499"/>
    </row>
    <row r="9" spans="1:22" ht="12.6" customHeight="1">
      <c r="A9" s="410" t="s">
        <v>142</v>
      </c>
      <c r="B9" s="500">
        <v>6692.976597971101</v>
      </c>
      <c r="C9" s="500">
        <v>6783.7555338361435</v>
      </c>
      <c r="D9" s="500">
        <v>5232.0133379620684</v>
      </c>
      <c r="E9" s="500">
        <v>6153.1413605798816</v>
      </c>
      <c r="F9" s="500">
        <v>6332.9761182022066</v>
      </c>
      <c r="G9" s="500">
        <v>6639.3754894403737</v>
      </c>
      <c r="H9" s="500">
        <v>6944.3718948839623</v>
      </c>
      <c r="I9" s="500">
        <v>6843.8281931820638</v>
      </c>
      <c r="J9" s="500">
        <v>7000.1432261970731</v>
      </c>
      <c r="K9" s="500">
        <v>7205.1080942146982</v>
      </c>
      <c r="L9" s="500">
        <v>7409.5272982104398</v>
      </c>
      <c r="M9" s="500">
        <v>7634.5010628695445</v>
      </c>
      <c r="N9" s="500">
        <v>7858.537158410476</v>
      </c>
      <c r="O9" s="501">
        <v>8058.7954035439798</v>
      </c>
      <c r="P9" s="479">
        <v>2.612910646856359</v>
      </c>
      <c r="Q9" s="479">
        <v>2.8567128561417299</v>
      </c>
      <c r="R9" s="479">
        <v>2.7347394299349626</v>
      </c>
      <c r="S9" s="397"/>
      <c r="T9" s="397"/>
      <c r="U9" s="498"/>
      <c r="V9" s="499"/>
    </row>
    <row r="10" spans="1:22" ht="12.6" customHeight="1">
      <c r="A10" s="250" t="s">
        <v>143</v>
      </c>
      <c r="B10" s="493">
        <f t="shared" ref="B10:D10" si="1">B11+B12+B13</f>
        <v>134981.68068968991</v>
      </c>
      <c r="C10" s="493">
        <f t="shared" si="1"/>
        <v>150001.03263448295</v>
      </c>
      <c r="D10" s="493">
        <f t="shared" si="1"/>
        <v>153923.66190297841</v>
      </c>
      <c r="E10" s="493">
        <v>151790.6934294473</v>
      </c>
      <c r="F10" s="493">
        <v>179922.58188156699</v>
      </c>
      <c r="G10" s="493">
        <v>187615.86883428835</v>
      </c>
      <c r="H10" s="493">
        <v>207501.7094566836</v>
      </c>
      <c r="I10" s="493">
        <v>213566.43557403318</v>
      </c>
      <c r="J10" s="493">
        <v>229140.57237927831</v>
      </c>
      <c r="K10" s="493">
        <v>252155.56312039038</v>
      </c>
      <c r="L10" s="493">
        <v>271037.01113468659</v>
      </c>
      <c r="M10" s="493">
        <v>277215.18595520285</v>
      </c>
      <c r="N10" s="493">
        <v>281091.01066674443</v>
      </c>
      <c r="O10" s="502">
        <v>278115.36023766448</v>
      </c>
      <c r="P10" s="477">
        <v>8.5853835512759602</v>
      </c>
      <c r="Q10" s="477">
        <v>3.9500245844375836</v>
      </c>
      <c r="R10" s="477">
        <v>6.2424269756001127</v>
      </c>
      <c r="S10" s="397"/>
      <c r="T10" s="397"/>
      <c r="U10" s="498"/>
      <c r="V10" s="498"/>
    </row>
    <row r="11" spans="1:22" ht="12.6" customHeight="1">
      <c r="A11" s="251" t="s">
        <v>144</v>
      </c>
      <c r="B11" s="503">
        <v>134067.39786</v>
      </c>
      <c r="C11" s="503">
        <v>144302.78441699999</v>
      </c>
      <c r="D11" s="503">
        <v>152634.90231</v>
      </c>
      <c r="E11" s="503">
        <v>150834.06657</v>
      </c>
      <c r="F11" s="503">
        <v>173876.85018000001</v>
      </c>
      <c r="G11" s="503">
        <v>180446.19318</v>
      </c>
      <c r="H11" s="503">
        <v>199220.76424800002</v>
      </c>
      <c r="I11" s="503">
        <v>204918.94714500001</v>
      </c>
      <c r="J11" s="503">
        <v>220240.47622500002</v>
      </c>
      <c r="K11" s="503">
        <v>242897.88005999997</v>
      </c>
      <c r="L11" s="503">
        <v>261309.71611799998</v>
      </c>
      <c r="M11" s="503">
        <v>267131.27578500001</v>
      </c>
      <c r="N11" s="503">
        <v>270691.40438999998</v>
      </c>
      <c r="O11" s="504">
        <v>267296.15979000001</v>
      </c>
      <c r="P11" s="477">
        <v>7.8647495649907917</v>
      </c>
      <c r="Q11" s="477">
        <v>3.9487129336442939</v>
      </c>
      <c r="R11" s="477">
        <v>5.8886296454471188</v>
      </c>
      <c r="S11" s="397"/>
      <c r="T11" s="397"/>
      <c r="U11" s="498"/>
      <c r="V11" s="498"/>
    </row>
    <row r="12" spans="1:22" ht="12.6" customHeight="1">
      <c r="A12" s="251" t="s">
        <v>145</v>
      </c>
      <c r="B12" s="503">
        <v>914.28282968991005</v>
      </c>
      <c r="C12" s="503">
        <v>1539.6309233497129</v>
      </c>
      <c r="D12" s="503">
        <v>1288.7595929784127</v>
      </c>
      <c r="E12" s="503">
        <v>956.62685944729833</v>
      </c>
      <c r="F12" s="503">
        <v>934.33406957243506</v>
      </c>
      <c r="G12" s="503">
        <v>956.50195140459527</v>
      </c>
      <c r="H12" s="503">
        <v>1045.9516132078418</v>
      </c>
      <c r="I12" s="503">
        <v>1114.3704318785515</v>
      </c>
      <c r="J12" s="503">
        <v>1196.5485245429638</v>
      </c>
      <c r="K12" s="503">
        <v>1369.373485268068</v>
      </c>
      <c r="L12" s="503">
        <v>1635.100948046821</v>
      </c>
      <c r="M12" s="503">
        <v>1791.2851978891915</v>
      </c>
      <c r="N12" s="503">
        <v>1905.7687662146652</v>
      </c>
      <c r="O12" s="504">
        <v>1908.2283008144766</v>
      </c>
      <c r="P12" s="477">
        <v>4.5773298805090512</v>
      </c>
      <c r="Q12" s="477">
        <v>9.7842409220670881</v>
      </c>
      <c r="R12" s="477">
        <v>7.1491613527063125</v>
      </c>
      <c r="S12" s="397"/>
      <c r="T12" s="397"/>
      <c r="U12" s="498"/>
      <c r="V12" s="499"/>
    </row>
    <row r="13" spans="1:22" ht="12.6" customHeight="1">
      <c r="A13" s="410" t="s">
        <v>146</v>
      </c>
      <c r="B13" s="500">
        <v>0</v>
      </c>
      <c r="C13" s="500">
        <v>4158.6172941332588</v>
      </c>
      <c r="D13" s="500">
        <v>0</v>
      </c>
      <c r="E13" s="500">
        <v>0</v>
      </c>
      <c r="F13" s="500">
        <v>5111.3976319945405</v>
      </c>
      <c r="G13" s="500">
        <v>6213.1737028837788</v>
      </c>
      <c r="H13" s="500">
        <v>7234.9935954757311</v>
      </c>
      <c r="I13" s="500">
        <v>7533.1179971546244</v>
      </c>
      <c r="J13" s="500">
        <v>7703.547629735328</v>
      </c>
      <c r="K13" s="500">
        <v>7888.3095751223354</v>
      </c>
      <c r="L13" s="500">
        <v>8092.1940686397666</v>
      </c>
      <c r="M13" s="500">
        <v>8292.624972313637</v>
      </c>
      <c r="N13" s="500">
        <v>8493.8375105297928</v>
      </c>
      <c r="O13" s="501">
        <v>8910.9721468499956</v>
      </c>
      <c r="P13" s="479" t="s">
        <v>137</v>
      </c>
      <c r="Q13" s="479">
        <v>2.9548624763305442</v>
      </c>
      <c r="R13" s="479" t="s">
        <v>137</v>
      </c>
      <c r="S13" s="397"/>
      <c r="T13" s="397"/>
      <c r="U13" s="499"/>
      <c r="V13" s="499"/>
    </row>
    <row r="14" spans="1:22" ht="12.6" customHeight="1" thickBot="1">
      <c r="A14" s="505" t="s">
        <v>135</v>
      </c>
      <c r="B14" s="506">
        <f t="shared" ref="B14:D14" si="2">B10-B7</f>
        <v>23995.769825303898</v>
      </c>
      <c r="C14" s="506">
        <f t="shared" si="2"/>
        <v>36881.994946452003</v>
      </c>
      <c r="D14" s="506">
        <f t="shared" si="2"/>
        <v>46809.87869805473</v>
      </c>
      <c r="E14" s="506">
        <v>39309.770446305673</v>
      </c>
      <c r="F14" s="506">
        <v>64685.07484250603</v>
      </c>
      <c r="G14" s="506">
        <v>71086.768671793267</v>
      </c>
      <c r="H14" s="506">
        <v>89304.66591891268</v>
      </c>
      <c r="I14" s="506">
        <v>94526.233249631652</v>
      </c>
      <c r="J14" s="506">
        <v>108000.43375956669</v>
      </c>
      <c r="K14" s="506">
        <v>129435.40760358286</v>
      </c>
      <c r="L14" s="506">
        <v>145653.67472480028</v>
      </c>
      <c r="M14" s="506">
        <v>149463.49410465173</v>
      </c>
      <c r="N14" s="506">
        <v>150097.58761960766</v>
      </c>
      <c r="O14" s="507">
        <v>144841.37390534149</v>
      </c>
      <c r="P14" s="508">
        <v>22.401009146041552</v>
      </c>
      <c r="Q14" s="508">
        <v>6.0457888806845661</v>
      </c>
      <c r="R14" s="508">
        <v>13.93029261212253</v>
      </c>
      <c r="S14" s="397"/>
      <c r="T14" s="397"/>
    </row>
    <row r="15" spans="1:22" ht="12.6" customHeight="1">
      <c r="A15" s="250" t="s">
        <v>147</v>
      </c>
      <c r="B15" s="397"/>
      <c r="C15" s="397"/>
      <c r="D15" s="397"/>
      <c r="E15" s="397"/>
      <c r="F15" s="397"/>
      <c r="G15" s="397"/>
      <c r="H15" s="397"/>
      <c r="I15" s="397"/>
      <c r="J15" s="397"/>
      <c r="K15" s="397"/>
      <c r="L15" s="397"/>
      <c r="M15" s="397"/>
      <c r="N15" s="397"/>
      <c r="O15" s="397"/>
      <c r="P15" s="397"/>
      <c r="Q15" s="397"/>
      <c r="R15" s="397"/>
      <c r="S15" s="397"/>
      <c r="T15" s="397"/>
    </row>
    <row r="16" spans="1:22" ht="12.6" customHeight="1">
      <c r="A16" s="251" t="s">
        <v>148</v>
      </c>
      <c r="B16" s="397"/>
      <c r="C16" s="397"/>
      <c r="D16" s="397"/>
      <c r="E16" s="397"/>
      <c r="F16" s="397"/>
      <c r="G16" s="397"/>
      <c r="H16" s="397"/>
      <c r="I16" s="397"/>
      <c r="J16" s="397"/>
      <c r="K16" s="397"/>
      <c r="L16" s="397"/>
      <c r="M16" s="397"/>
      <c r="N16" s="397"/>
      <c r="O16" s="397"/>
      <c r="P16" s="397"/>
      <c r="Q16" s="397"/>
      <c r="R16" s="397"/>
      <c r="S16" s="397"/>
      <c r="T16" s="397"/>
    </row>
    <row r="17" spans="1:20" ht="12.6" customHeight="1">
      <c r="A17" s="251" t="s">
        <v>149</v>
      </c>
      <c r="B17" s="397"/>
      <c r="C17" s="397"/>
      <c r="D17" s="397"/>
      <c r="E17" s="397"/>
      <c r="F17" s="397"/>
      <c r="G17" s="397"/>
      <c r="H17" s="397"/>
      <c r="I17" s="397"/>
      <c r="J17" s="397"/>
      <c r="K17" s="397"/>
      <c r="L17" s="397"/>
      <c r="M17" s="397"/>
      <c r="N17" s="397"/>
      <c r="O17" s="397"/>
      <c r="P17" s="397"/>
      <c r="Q17" s="397"/>
      <c r="R17" s="397"/>
      <c r="S17" s="397"/>
      <c r="T17" s="397"/>
    </row>
    <row r="18" spans="1:20" ht="12.6" customHeight="1">
      <c r="A18" s="251" t="s">
        <v>150</v>
      </c>
      <c r="B18" s="397"/>
      <c r="C18" s="397"/>
      <c r="D18" s="397"/>
      <c r="E18" s="397"/>
      <c r="F18" s="397"/>
      <c r="G18" s="397"/>
      <c r="H18" s="397"/>
      <c r="I18" s="397"/>
      <c r="J18" s="397"/>
      <c r="K18" s="397"/>
      <c r="L18" s="397"/>
      <c r="M18" s="397"/>
      <c r="N18" s="397"/>
      <c r="O18" s="397"/>
      <c r="P18" s="397"/>
      <c r="Q18" s="397"/>
      <c r="R18" s="397"/>
      <c r="S18" s="397"/>
      <c r="T18" s="397"/>
    </row>
    <row r="19" spans="1:20" ht="12.6" customHeight="1">
      <c r="A19" s="251"/>
      <c r="B19" s="397"/>
      <c r="C19" s="397"/>
      <c r="D19" s="397"/>
      <c r="E19" s="397"/>
      <c r="F19" s="397"/>
      <c r="G19" s="397"/>
      <c r="H19" s="397"/>
      <c r="I19" s="397"/>
      <c r="J19" s="397"/>
      <c r="K19" s="397"/>
      <c r="L19" s="397"/>
      <c r="M19" s="397"/>
      <c r="N19" s="397"/>
      <c r="O19" s="397"/>
      <c r="P19" s="397"/>
      <c r="Q19" s="397"/>
      <c r="R19" s="397"/>
      <c r="S19" s="397"/>
      <c r="T19" s="397"/>
    </row>
    <row r="20" spans="1:20" ht="12.6" customHeight="1">
      <c r="A20" s="397"/>
      <c r="B20" s="397"/>
      <c r="C20" s="397"/>
      <c r="D20" s="397"/>
      <c r="E20" s="397"/>
      <c r="F20" s="397"/>
      <c r="G20" s="397"/>
      <c r="H20" s="397"/>
      <c r="I20" s="397"/>
      <c r="J20" s="397"/>
      <c r="K20" s="397"/>
      <c r="L20" s="397"/>
      <c r="M20" s="397"/>
      <c r="N20" s="397"/>
      <c r="O20" s="397"/>
      <c r="P20" s="397"/>
      <c r="Q20" s="397"/>
      <c r="R20" s="397"/>
      <c r="S20" s="397"/>
    </row>
    <row r="21" spans="1:20" ht="12.6" customHeight="1">
      <c r="A21" s="397"/>
      <c r="B21" s="397"/>
      <c r="C21" s="397"/>
      <c r="D21" s="397"/>
      <c r="E21" s="397"/>
      <c r="F21" s="397"/>
      <c r="G21" s="397"/>
      <c r="H21" s="397"/>
      <c r="I21" s="397"/>
      <c r="J21" s="397"/>
      <c r="K21" s="397"/>
      <c r="L21" s="397"/>
      <c r="M21" s="397"/>
      <c r="N21" s="397"/>
      <c r="O21" s="397"/>
      <c r="P21" s="397"/>
      <c r="Q21" s="397"/>
      <c r="R21" s="397"/>
      <c r="S21" s="397"/>
    </row>
  </sheetData>
  <mergeCells count="3">
    <mergeCell ref="A4:A6"/>
    <mergeCell ref="P4:R4"/>
    <mergeCell ref="B5:J6"/>
  </mergeCells>
  <hyperlinks>
    <hyperlink ref="A1" location="'Sumário Cap.XI'!A1" display="Voltar para Sumário" xr:uid="{91E9AE0B-762D-445F-8B64-B419D6221549}"/>
  </hyperlink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678E"/>
  </sheetPr>
  <dimension ref="A1:V22"/>
  <sheetViews>
    <sheetView showGridLines="0" zoomScaleNormal="100" workbookViewId="0"/>
  </sheetViews>
  <sheetFormatPr defaultRowHeight="12.6" customHeight="1"/>
  <cols>
    <col min="1" max="1" width="27.5703125" style="252" customWidth="1"/>
    <col min="2" max="2" width="9.28515625" style="252" hidden="1" customWidth="1"/>
    <col min="3" max="3" width="10.140625" style="252" hidden="1" customWidth="1"/>
    <col min="4" max="4" width="9.28515625" style="252" hidden="1" customWidth="1"/>
    <col min="5" max="5" width="11" style="252" customWidth="1"/>
    <col min="6" max="9" width="9.28515625" style="252" hidden="1" customWidth="1"/>
    <col min="10" max="10" width="9.140625" style="252" customWidth="1"/>
    <col min="11" max="14" width="9.140625" style="252" hidden="1" customWidth="1"/>
    <col min="15" max="15" width="9.140625" style="252" customWidth="1"/>
    <col min="16" max="16" width="2" style="252" customWidth="1"/>
    <col min="17" max="17" width="11.5703125" style="252" customWidth="1"/>
    <col min="18" max="19" width="11.42578125" style="252" customWidth="1"/>
    <col min="20" max="20" width="9.140625" style="252"/>
    <col min="21" max="21" width="19.5703125" style="252" customWidth="1"/>
    <col min="22" max="22" width="9.28515625" style="252" bestFit="1" customWidth="1"/>
    <col min="23" max="215" width="9.140625" style="252"/>
    <col min="216" max="216" width="30.140625" style="252" customWidth="1"/>
    <col min="217" max="219" width="0" style="252" hidden="1" customWidth="1"/>
    <col min="220" max="223" width="9.28515625" style="252" customWidth="1"/>
    <col min="224" max="224" width="9.28515625" style="252" bestFit="1" customWidth="1"/>
    <col min="225" max="230" width="9.28515625" style="252" customWidth="1"/>
    <col min="231" max="244" width="0" style="252" hidden="1" customWidth="1"/>
    <col min="245" max="245" width="9.28515625" style="252" customWidth="1"/>
    <col min="246" max="246" width="30" style="252" customWidth="1"/>
    <col min="247" max="249" width="0" style="252" hidden="1" customWidth="1"/>
    <col min="250" max="257" width="9.28515625" style="252" customWidth="1"/>
    <col min="258" max="258" width="10.140625" style="252" customWidth="1"/>
    <col min="259" max="260" width="9.28515625" style="252" customWidth="1"/>
    <col min="261" max="274" width="0" style="252" hidden="1" customWidth="1"/>
    <col min="275" max="276" width="9.140625" style="252"/>
    <col min="277" max="277" width="29" style="252" bestFit="1" customWidth="1"/>
    <col min="278" max="278" width="9.28515625" style="252" bestFit="1" customWidth="1"/>
    <col min="279" max="471" width="9.140625" style="252"/>
    <col min="472" max="472" width="30.140625" style="252" customWidth="1"/>
    <col min="473" max="475" width="0" style="252" hidden="1" customWidth="1"/>
    <col min="476" max="479" width="9.28515625" style="252" customWidth="1"/>
    <col min="480" max="480" width="9.28515625" style="252" bestFit="1" customWidth="1"/>
    <col min="481" max="486" width="9.28515625" style="252" customWidth="1"/>
    <col min="487" max="500" width="0" style="252" hidden="1" customWidth="1"/>
    <col min="501" max="501" width="9.28515625" style="252" customWidth="1"/>
    <col min="502" max="502" width="30" style="252" customWidth="1"/>
    <col min="503" max="505" width="0" style="252" hidden="1" customWidth="1"/>
    <col min="506" max="513" width="9.28515625" style="252" customWidth="1"/>
    <col min="514" max="514" width="10.140625" style="252" customWidth="1"/>
    <col min="515" max="516" width="9.28515625" style="252" customWidth="1"/>
    <col min="517" max="530" width="0" style="252" hidden="1" customWidth="1"/>
    <col min="531" max="532" width="9.140625" style="252"/>
    <col min="533" max="533" width="29" style="252" bestFit="1" customWidth="1"/>
    <col min="534" max="534" width="9.28515625" style="252" bestFit="1" customWidth="1"/>
    <col min="535" max="727" width="9.140625" style="252"/>
    <col min="728" max="728" width="30.140625" style="252" customWidth="1"/>
    <col min="729" max="731" width="0" style="252" hidden="1" customWidth="1"/>
    <col min="732" max="735" width="9.28515625" style="252" customWidth="1"/>
    <col min="736" max="736" width="9.28515625" style="252" bestFit="1" customWidth="1"/>
    <col min="737" max="742" width="9.28515625" style="252" customWidth="1"/>
    <col min="743" max="756" width="0" style="252" hidden="1" customWidth="1"/>
    <col min="757" max="757" width="9.28515625" style="252" customWidth="1"/>
    <col min="758" max="758" width="30" style="252" customWidth="1"/>
    <col min="759" max="761" width="0" style="252" hidden="1" customWidth="1"/>
    <col min="762" max="769" width="9.28515625" style="252" customWidth="1"/>
    <col min="770" max="770" width="10.140625" style="252" customWidth="1"/>
    <col min="771" max="772" width="9.28515625" style="252" customWidth="1"/>
    <col min="773" max="786" width="0" style="252" hidden="1" customWidth="1"/>
    <col min="787" max="788" width="9.140625" style="252"/>
    <col min="789" max="789" width="29" style="252" bestFit="1" customWidth="1"/>
    <col min="790" max="790" width="9.28515625" style="252" bestFit="1" customWidth="1"/>
    <col min="791" max="983" width="9.140625" style="252"/>
    <col min="984" max="984" width="30.140625" style="252" customWidth="1"/>
    <col min="985" max="987" width="0" style="252" hidden="1" customWidth="1"/>
    <col min="988" max="991" width="9.28515625" style="252" customWidth="1"/>
    <col min="992" max="992" width="9.28515625" style="252" bestFit="1" customWidth="1"/>
    <col min="993" max="998" width="9.28515625" style="252" customWidth="1"/>
    <col min="999" max="1012" width="0" style="252" hidden="1" customWidth="1"/>
    <col min="1013" max="1013" width="9.28515625" style="252" customWidth="1"/>
    <col min="1014" max="1014" width="30" style="252" customWidth="1"/>
    <col min="1015" max="1017" width="0" style="252" hidden="1" customWidth="1"/>
    <col min="1018" max="1025" width="9.28515625" style="252" customWidth="1"/>
    <col min="1026" max="1026" width="10.140625" style="252" customWidth="1"/>
    <col min="1027" max="1028" width="9.28515625" style="252" customWidth="1"/>
    <col min="1029" max="1042" width="0" style="252" hidden="1" customWidth="1"/>
    <col min="1043" max="1044" width="9.140625" style="252"/>
    <col min="1045" max="1045" width="29" style="252" bestFit="1" customWidth="1"/>
    <col min="1046" max="1046" width="9.28515625" style="252" bestFit="1" customWidth="1"/>
    <col min="1047" max="1239" width="9.140625" style="252"/>
    <col min="1240" max="1240" width="30.140625" style="252" customWidth="1"/>
    <col min="1241" max="1243" width="0" style="252" hidden="1" customWidth="1"/>
    <col min="1244" max="1247" width="9.28515625" style="252" customWidth="1"/>
    <col min="1248" max="1248" width="9.28515625" style="252" bestFit="1" customWidth="1"/>
    <col min="1249" max="1254" width="9.28515625" style="252" customWidth="1"/>
    <col min="1255" max="1268" width="0" style="252" hidden="1" customWidth="1"/>
    <col min="1269" max="1269" width="9.28515625" style="252" customWidth="1"/>
    <col min="1270" max="1270" width="30" style="252" customWidth="1"/>
    <col min="1271" max="1273" width="0" style="252" hidden="1" customWidth="1"/>
    <col min="1274" max="1281" width="9.28515625" style="252" customWidth="1"/>
    <col min="1282" max="1282" width="10.140625" style="252" customWidth="1"/>
    <col min="1283" max="1284" width="9.28515625" style="252" customWidth="1"/>
    <col min="1285" max="1298" width="0" style="252" hidden="1" customWidth="1"/>
    <col min="1299" max="1300" width="9.140625" style="252"/>
    <col min="1301" max="1301" width="29" style="252" bestFit="1" customWidth="1"/>
    <col min="1302" max="1302" width="9.28515625" style="252" bestFit="1" customWidth="1"/>
    <col min="1303" max="1495" width="9.140625" style="252"/>
    <col min="1496" max="1496" width="30.140625" style="252" customWidth="1"/>
    <col min="1497" max="1499" width="0" style="252" hidden="1" customWidth="1"/>
    <col min="1500" max="1503" width="9.28515625" style="252" customWidth="1"/>
    <col min="1504" max="1504" width="9.28515625" style="252" bestFit="1" customWidth="1"/>
    <col min="1505" max="1510" width="9.28515625" style="252" customWidth="1"/>
    <col min="1511" max="1524" width="0" style="252" hidden="1" customWidth="1"/>
    <col min="1525" max="1525" width="9.28515625" style="252" customWidth="1"/>
    <col min="1526" max="1526" width="30" style="252" customWidth="1"/>
    <col min="1527" max="1529" width="0" style="252" hidden="1" customWidth="1"/>
    <col min="1530" max="1537" width="9.28515625" style="252" customWidth="1"/>
    <col min="1538" max="1538" width="10.140625" style="252" customWidth="1"/>
    <col min="1539" max="1540" width="9.28515625" style="252" customWidth="1"/>
    <col min="1541" max="1554" width="0" style="252" hidden="1" customWidth="1"/>
    <col min="1555" max="1556" width="9.140625" style="252"/>
    <col min="1557" max="1557" width="29" style="252" bestFit="1" customWidth="1"/>
    <col min="1558" max="1558" width="9.28515625" style="252" bestFit="1" customWidth="1"/>
    <col min="1559" max="1751" width="9.140625" style="252"/>
    <col min="1752" max="1752" width="30.140625" style="252" customWidth="1"/>
    <col min="1753" max="1755" width="0" style="252" hidden="1" customWidth="1"/>
    <col min="1756" max="1759" width="9.28515625" style="252" customWidth="1"/>
    <col min="1760" max="1760" width="9.28515625" style="252" bestFit="1" customWidth="1"/>
    <col min="1761" max="1766" width="9.28515625" style="252" customWidth="1"/>
    <col min="1767" max="1780" width="0" style="252" hidden="1" customWidth="1"/>
    <col min="1781" max="1781" width="9.28515625" style="252" customWidth="1"/>
    <col min="1782" max="1782" width="30" style="252" customWidth="1"/>
    <col min="1783" max="1785" width="0" style="252" hidden="1" customWidth="1"/>
    <col min="1786" max="1793" width="9.28515625" style="252" customWidth="1"/>
    <col min="1794" max="1794" width="10.140625" style="252" customWidth="1"/>
    <col min="1795" max="1796" width="9.28515625" style="252" customWidth="1"/>
    <col min="1797" max="1810" width="0" style="252" hidden="1" customWidth="1"/>
    <col min="1811" max="1812" width="9.140625" style="252"/>
    <col min="1813" max="1813" width="29" style="252" bestFit="1" customWidth="1"/>
    <col min="1814" max="1814" width="9.28515625" style="252" bestFit="1" customWidth="1"/>
    <col min="1815" max="2007" width="9.140625" style="252"/>
    <col min="2008" max="2008" width="30.140625" style="252" customWidth="1"/>
    <col min="2009" max="2011" width="0" style="252" hidden="1" customWidth="1"/>
    <col min="2012" max="2015" width="9.28515625" style="252" customWidth="1"/>
    <col min="2016" max="2016" width="9.28515625" style="252" bestFit="1" customWidth="1"/>
    <col min="2017" max="2022" width="9.28515625" style="252" customWidth="1"/>
    <col min="2023" max="2036" width="0" style="252" hidden="1" customWidth="1"/>
    <col min="2037" max="2037" width="9.28515625" style="252" customWidth="1"/>
    <col min="2038" max="2038" width="30" style="252" customWidth="1"/>
    <col min="2039" max="2041" width="0" style="252" hidden="1" customWidth="1"/>
    <col min="2042" max="2049" width="9.28515625" style="252" customWidth="1"/>
    <col min="2050" max="2050" width="10.140625" style="252" customWidth="1"/>
    <col min="2051" max="2052" width="9.28515625" style="252" customWidth="1"/>
    <col min="2053" max="2066" width="0" style="252" hidden="1" customWidth="1"/>
    <col min="2067" max="2068" width="9.140625" style="252"/>
    <col min="2069" max="2069" width="29" style="252" bestFit="1" customWidth="1"/>
    <col min="2070" max="2070" width="9.28515625" style="252" bestFit="1" customWidth="1"/>
    <col min="2071" max="2263" width="9.140625" style="252"/>
    <col min="2264" max="2264" width="30.140625" style="252" customWidth="1"/>
    <col min="2265" max="2267" width="0" style="252" hidden="1" customWidth="1"/>
    <col min="2268" max="2271" width="9.28515625" style="252" customWidth="1"/>
    <col min="2272" max="2272" width="9.28515625" style="252" bestFit="1" customWidth="1"/>
    <col min="2273" max="2278" width="9.28515625" style="252" customWidth="1"/>
    <col min="2279" max="2292" width="0" style="252" hidden="1" customWidth="1"/>
    <col min="2293" max="2293" width="9.28515625" style="252" customWidth="1"/>
    <col min="2294" max="2294" width="30" style="252" customWidth="1"/>
    <col min="2295" max="2297" width="0" style="252" hidden="1" customWidth="1"/>
    <col min="2298" max="2305" width="9.28515625" style="252" customWidth="1"/>
    <col min="2306" max="2306" width="10.140625" style="252" customWidth="1"/>
    <col min="2307" max="2308" width="9.28515625" style="252" customWidth="1"/>
    <col min="2309" max="2322" width="0" style="252" hidden="1" customWidth="1"/>
    <col min="2323" max="2324" width="9.140625" style="252"/>
    <col min="2325" max="2325" width="29" style="252" bestFit="1" customWidth="1"/>
    <col min="2326" max="2326" width="9.28515625" style="252" bestFit="1" customWidth="1"/>
    <col min="2327" max="2519" width="9.140625" style="252"/>
    <col min="2520" max="2520" width="30.140625" style="252" customWidth="1"/>
    <col min="2521" max="2523" width="0" style="252" hidden="1" customWidth="1"/>
    <col min="2524" max="2527" width="9.28515625" style="252" customWidth="1"/>
    <col min="2528" max="2528" width="9.28515625" style="252" bestFit="1" customWidth="1"/>
    <col min="2529" max="2534" width="9.28515625" style="252" customWidth="1"/>
    <col min="2535" max="2548" width="0" style="252" hidden="1" customWidth="1"/>
    <col min="2549" max="2549" width="9.28515625" style="252" customWidth="1"/>
    <col min="2550" max="2550" width="30" style="252" customWidth="1"/>
    <col min="2551" max="2553" width="0" style="252" hidden="1" customWidth="1"/>
    <col min="2554" max="2561" width="9.28515625" style="252" customWidth="1"/>
    <col min="2562" max="2562" width="10.140625" style="252" customWidth="1"/>
    <col min="2563" max="2564" width="9.28515625" style="252" customWidth="1"/>
    <col min="2565" max="2578" width="0" style="252" hidden="1" customWidth="1"/>
    <col min="2579" max="2580" width="9.140625" style="252"/>
    <col min="2581" max="2581" width="29" style="252" bestFit="1" customWidth="1"/>
    <col min="2582" max="2582" width="9.28515625" style="252" bestFit="1" customWidth="1"/>
    <col min="2583" max="2775" width="9.140625" style="252"/>
    <col min="2776" max="2776" width="30.140625" style="252" customWidth="1"/>
    <col min="2777" max="2779" width="0" style="252" hidden="1" customWidth="1"/>
    <col min="2780" max="2783" width="9.28515625" style="252" customWidth="1"/>
    <col min="2784" max="2784" width="9.28515625" style="252" bestFit="1" customWidth="1"/>
    <col min="2785" max="2790" width="9.28515625" style="252" customWidth="1"/>
    <col min="2791" max="2804" width="0" style="252" hidden="1" customWidth="1"/>
    <col min="2805" max="2805" width="9.28515625" style="252" customWidth="1"/>
    <col min="2806" max="2806" width="30" style="252" customWidth="1"/>
    <col min="2807" max="2809" width="0" style="252" hidden="1" customWidth="1"/>
    <col min="2810" max="2817" width="9.28515625" style="252" customWidth="1"/>
    <col min="2818" max="2818" width="10.140625" style="252" customWidth="1"/>
    <col min="2819" max="2820" width="9.28515625" style="252" customWidth="1"/>
    <col min="2821" max="2834" width="0" style="252" hidden="1" customWidth="1"/>
    <col min="2835" max="2836" width="9.140625" style="252"/>
    <col min="2837" max="2837" width="29" style="252" bestFit="1" customWidth="1"/>
    <col min="2838" max="2838" width="9.28515625" style="252" bestFit="1" customWidth="1"/>
    <col min="2839" max="3031" width="9.140625" style="252"/>
    <col min="3032" max="3032" width="30.140625" style="252" customWidth="1"/>
    <col min="3033" max="3035" width="0" style="252" hidden="1" customWidth="1"/>
    <col min="3036" max="3039" width="9.28515625" style="252" customWidth="1"/>
    <col min="3040" max="3040" width="9.28515625" style="252" bestFit="1" customWidth="1"/>
    <col min="3041" max="3046" width="9.28515625" style="252" customWidth="1"/>
    <col min="3047" max="3060" width="0" style="252" hidden="1" customWidth="1"/>
    <col min="3061" max="3061" width="9.28515625" style="252" customWidth="1"/>
    <col min="3062" max="3062" width="30" style="252" customWidth="1"/>
    <col min="3063" max="3065" width="0" style="252" hidden="1" customWidth="1"/>
    <col min="3066" max="3073" width="9.28515625" style="252" customWidth="1"/>
    <col min="3074" max="3074" width="10.140625" style="252" customWidth="1"/>
    <col min="3075" max="3076" width="9.28515625" style="252" customWidth="1"/>
    <col min="3077" max="3090" width="0" style="252" hidden="1" customWidth="1"/>
    <col min="3091" max="3092" width="9.140625" style="252"/>
    <col min="3093" max="3093" width="29" style="252" bestFit="1" customWidth="1"/>
    <col min="3094" max="3094" width="9.28515625" style="252" bestFit="1" customWidth="1"/>
    <col min="3095" max="3287" width="9.140625" style="252"/>
    <col min="3288" max="3288" width="30.140625" style="252" customWidth="1"/>
    <col min="3289" max="3291" width="0" style="252" hidden="1" customWidth="1"/>
    <col min="3292" max="3295" width="9.28515625" style="252" customWidth="1"/>
    <col min="3296" max="3296" width="9.28515625" style="252" bestFit="1" customWidth="1"/>
    <col min="3297" max="3302" width="9.28515625" style="252" customWidth="1"/>
    <col min="3303" max="3316" width="0" style="252" hidden="1" customWidth="1"/>
    <col min="3317" max="3317" width="9.28515625" style="252" customWidth="1"/>
    <col min="3318" max="3318" width="30" style="252" customWidth="1"/>
    <col min="3319" max="3321" width="0" style="252" hidden="1" customWidth="1"/>
    <col min="3322" max="3329" width="9.28515625" style="252" customWidth="1"/>
    <col min="3330" max="3330" width="10.140625" style="252" customWidth="1"/>
    <col min="3331" max="3332" width="9.28515625" style="252" customWidth="1"/>
    <col min="3333" max="3346" width="0" style="252" hidden="1" customWidth="1"/>
    <col min="3347" max="3348" width="9.140625" style="252"/>
    <col min="3349" max="3349" width="29" style="252" bestFit="1" customWidth="1"/>
    <col min="3350" max="3350" width="9.28515625" style="252" bestFit="1" customWidth="1"/>
    <col min="3351" max="3543" width="9.140625" style="252"/>
    <col min="3544" max="3544" width="30.140625" style="252" customWidth="1"/>
    <col min="3545" max="3547" width="0" style="252" hidden="1" customWidth="1"/>
    <col min="3548" max="3551" width="9.28515625" style="252" customWidth="1"/>
    <col min="3552" max="3552" width="9.28515625" style="252" bestFit="1" customWidth="1"/>
    <col min="3553" max="3558" width="9.28515625" style="252" customWidth="1"/>
    <col min="3559" max="3572" width="0" style="252" hidden="1" customWidth="1"/>
    <col min="3573" max="3573" width="9.28515625" style="252" customWidth="1"/>
    <col min="3574" max="3574" width="30" style="252" customWidth="1"/>
    <col min="3575" max="3577" width="0" style="252" hidden="1" customWidth="1"/>
    <col min="3578" max="3585" width="9.28515625" style="252" customWidth="1"/>
    <col min="3586" max="3586" width="10.140625" style="252" customWidth="1"/>
    <col min="3587" max="3588" width="9.28515625" style="252" customWidth="1"/>
    <col min="3589" max="3602" width="0" style="252" hidden="1" customWidth="1"/>
    <col min="3603" max="3604" width="9.140625" style="252"/>
    <col min="3605" max="3605" width="29" style="252" bestFit="1" customWidth="1"/>
    <col min="3606" max="3606" width="9.28515625" style="252" bestFit="1" customWidth="1"/>
    <col min="3607" max="3799" width="9.140625" style="252"/>
    <col min="3800" max="3800" width="30.140625" style="252" customWidth="1"/>
    <col min="3801" max="3803" width="0" style="252" hidden="1" customWidth="1"/>
    <col min="3804" max="3807" width="9.28515625" style="252" customWidth="1"/>
    <col min="3808" max="3808" width="9.28515625" style="252" bestFit="1" customWidth="1"/>
    <col min="3809" max="3814" width="9.28515625" style="252" customWidth="1"/>
    <col min="3815" max="3828" width="0" style="252" hidden="1" customWidth="1"/>
    <col min="3829" max="3829" width="9.28515625" style="252" customWidth="1"/>
    <col min="3830" max="3830" width="30" style="252" customWidth="1"/>
    <col min="3831" max="3833" width="0" style="252" hidden="1" customWidth="1"/>
    <col min="3834" max="3841" width="9.28515625" style="252" customWidth="1"/>
    <col min="3842" max="3842" width="10.140625" style="252" customWidth="1"/>
    <col min="3843" max="3844" width="9.28515625" style="252" customWidth="1"/>
    <col min="3845" max="3858" width="0" style="252" hidden="1" customWidth="1"/>
    <col min="3859" max="3860" width="9.140625" style="252"/>
    <col min="3861" max="3861" width="29" style="252" bestFit="1" customWidth="1"/>
    <col min="3862" max="3862" width="9.28515625" style="252" bestFit="1" customWidth="1"/>
    <col min="3863" max="4055" width="9.140625" style="252"/>
    <col min="4056" max="4056" width="30.140625" style="252" customWidth="1"/>
    <col min="4057" max="4059" width="0" style="252" hidden="1" customWidth="1"/>
    <col min="4060" max="4063" width="9.28515625" style="252" customWidth="1"/>
    <col min="4064" max="4064" width="9.28515625" style="252" bestFit="1" customWidth="1"/>
    <col min="4065" max="4070" width="9.28515625" style="252" customWidth="1"/>
    <col min="4071" max="4084" width="0" style="252" hidden="1" customWidth="1"/>
    <col min="4085" max="4085" width="9.28515625" style="252" customWidth="1"/>
    <col min="4086" max="4086" width="30" style="252" customWidth="1"/>
    <col min="4087" max="4089" width="0" style="252" hidden="1" customWidth="1"/>
    <col min="4090" max="4097" width="9.28515625" style="252" customWidth="1"/>
    <col min="4098" max="4098" width="10.140625" style="252" customWidth="1"/>
    <col min="4099" max="4100" width="9.28515625" style="252" customWidth="1"/>
    <col min="4101" max="4114" width="0" style="252" hidden="1" customWidth="1"/>
    <col min="4115" max="4116" width="9.140625" style="252"/>
    <col min="4117" max="4117" width="29" style="252" bestFit="1" customWidth="1"/>
    <col min="4118" max="4118" width="9.28515625" style="252" bestFit="1" customWidth="1"/>
    <col min="4119" max="4311" width="9.140625" style="252"/>
    <col min="4312" max="4312" width="30.140625" style="252" customWidth="1"/>
    <col min="4313" max="4315" width="0" style="252" hidden="1" customWidth="1"/>
    <col min="4316" max="4319" width="9.28515625" style="252" customWidth="1"/>
    <col min="4320" max="4320" width="9.28515625" style="252" bestFit="1" customWidth="1"/>
    <col min="4321" max="4326" width="9.28515625" style="252" customWidth="1"/>
    <col min="4327" max="4340" width="0" style="252" hidden="1" customWidth="1"/>
    <col min="4341" max="4341" width="9.28515625" style="252" customWidth="1"/>
    <col min="4342" max="4342" width="30" style="252" customWidth="1"/>
    <col min="4343" max="4345" width="0" style="252" hidden="1" customWidth="1"/>
    <col min="4346" max="4353" width="9.28515625" style="252" customWidth="1"/>
    <col min="4354" max="4354" width="10.140625" style="252" customWidth="1"/>
    <col min="4355" max="4356" width="9.28515625" style="252" customWidth="1"/>
    <col min="4357" max="4370" width="0" style="252" hidden="1" customWidth="1"/>
    <col min="4371" max="4372" width="9.140625" style="252"/>
    <col min="4373" max="4373" width="29" style="252" bestFit="1" customWidth="1"/>
    <col min="4374" max="4374" width="9.28515625" style="252" bestFit="1" customWidth="1"/>
    <col min="4375" max="4567" width="9.140625" style="252"/>
    <col min="4568" max="4568" width="30.140625" style="252" customWidth="1"/>
    <col min="4569" max="4571" width="0" style="252" hidden="1" customWidth="1"/>
    <col min="4572" max="4575" width="9.28515625" style="252" customWidth="1"/>
    <col min="4576" max="4576" width="9.28515625" style="252" bestFit="1" customWidth="1"/>
    <col min="4577" max="4582" width="9.28515625" style="252" customWidth="1"/>
    <col min="4583" max="4596" width="0" style="252" hidden="1" customWidth="1"/>
    <col min="4597" max="4597" width="9.28515625" style="252" customWidth="1"/>
    <col min="4598" max="4598" width="30" style="252" customWidth="1"/>
    <col min="4599" max="4601" width="0" style="252" hidden="1" customWidth="1"/>
    <col min="4602" max="4609" width="9.28515625" style="252" customWidth="1"/>
    <col min="4610" max="4610" width="10.140625" style="252" customWidth="1"/>
    <col min="4611" max="4612" width="9.28515625" style="252" customWidth="1"/>
    <col min="4613" max="4626" width="0" style="252" hidden="1" customWidth="1"/>
    <col min="4627" max="4628" width="9.140625" style="252"/>
    <col min="4629" max="4629" width="29" style="252" bestFit="1" customWidth="1"/>
    <col min="4630" max="4630" width="9.28515625" style="252" bestFit="1" customWidth="1"/>
    <col min="4631" max="4823" width="9.140625" style="252"/>
    <col min="4824" max="4824" width="30.140625" style="252" customWidth="1"/>
    <col min="4825" max="4827" width="0" style="252" hidden="1" customWidth="1"/>
    <col min="4828" max="4831" width="9.28515625" style="252" customWidth="1"/>
    <col min="4832" max="4832" width="9.28515625" style="252" bestFit="1" customWidth="1"/>
    <col min="4833" max="4838" width="9.28515625" style="252" customWidth="1"/>
    <col min="4839" max="4852" width="0" style="252" hidden="1" customWidth="1"/>
    <col min="4853" max="4853" width="9.28515625" style="252" customWidth="1"/>
    <col min="4854" max="4854" width="30" style="252" customWidth="1"/>
    <col min="4855" max="4857" width="0" style="252" hidden="1" customWidth="1"/>
    <col min="4858" max="4865" width="9.28515625" style="252" customWidth="1"/>
    <col min="4866" max="4866" width="10.140625" style="252" customWidth="1"/>
    <col min="4867" max="4868" width="9.28515625" style="252" customWidth="1"/>
    <col min="4869" max="4882" width="0" style="252" hidden="1" customWidth="1"/>
    <col min="4883" max="4884" width="9.140625" style="252"/>
    <col min="4885" max="4885" width="29" style="252" bestFit="1" customWidth="1"/>
    <col min="4886" max="4886" width="9.28515625" style="252" bestFit="1" customWidth="1"/>
    <col min="4887" max="5079" width="9.140625" style="252"/>
    <col min="5080" max="5080" width="30.140625" style="252" customWidth="1"/>
    <col min="5081" max="5083" width="0" style="252" hidden="1" customWidth="1"/>
    <col min="5084" max="5087" width="9.28515625" style="252" customWidth="1"/>
    <col min="5088" max="5088" width="9.28515625" style="252" bestFit="1" customWidth="1"/>
    <col min="5089" max="5094" width="9.28515625" style="252" customWidth="1"/>
    <col min="5095" max="5108" width="0" style="252" hidden="1" customWidth="1"/>
    <col min="5109" max="5109" width="9.28515625" style="252" customWidth="1"/>
    <col min="5110" max="5110" width="30" style="252" customWidth="1"/>
    <col min="5111" max="5113" width="0" style="252" hidden="1" customWidth="1"/>
    <col min="5114" max="5121" width="9.28515625" style="252" customWidth="1"/>
    <col min="5122" max="5122" width="10.140625" style="252" customWidth="1"/>
    <col min="5123" max="5124" width="9.28515625" style="252" customWidth="1"/>
    <col min="5125" max="5138" width="0" style="252" hidden="1" customWidth="1"/>
    <col min="5139" max="5140" width="9.140625" style="252"/>
    <col min="5141" max="5141" width="29" style="252" bestFit="1" customWidth="1"/>
    <col min="5142" max="5142" width="9.28515625" style="252" bestFit="1" customWidth="1"/>
    <col min="5143" max="5335" width="9.140625" style="252"/>
    <col min="5336" max="5336" width="30.140625" style="252" customWidth="1"/>
    <col min="5337" max="5339" width="0" style="252" hidden="1" customWidth="1"/>
    <col min="5340" max="5343" width="9.28515625" style="252" customWidth="1"/>
    <col min="5344" max="5344" width="9.28515625" style="252" bestFit="1" customWidth="1"/>
    <col min="5345" max="5350" width="9.28515625" style="252" customWidth="1"/>
    <col min="5351" max="5364" width="0" style="252" hidden="1" customWidth="1"/>
    <col min="5365" max="5365" width="9.28515625" style="252" customWidth="1"/>
    <col min="5366" max="5366" width="30" style="252" customWidth="1"/>
    <col min="5367" max="5369" width="0" style="252" hidden="1" customWidth="1"/>
    <col min="5370" max="5377" width="9.28515625" style="252" customWidth="1"/>
    <col min="5378" max="5378" width="10.140625" style="252" customWidth="1"/>
    <col min="5379" max="5380" width="9.28515625" style="252" customWidth="1"/>
    <col min="5381" max="5394" width="0" style="252" hidden="1" customWidth="1"/>
    <col min="5395" max="5396" width="9.140625" style="252"/>
    <col min="5397" max="5397" width="29" style="252" bestFit="1" customWidth="1"/>
    <col min="5398" max="5398" width="9.28515625" style="252" bestFit="1" customWidth="1"/>
    <col min="5399" max="5591" width="9.140625" style="252"/>
    <col min="5592" max="5592" width="30.140625" style="252" customWidth="1"/>
    <col min="5593" max="5595" width="0" style="252" hidden="1" customWidth="1"/>
    <col min="5596" max="5599" width="9.28515625" style="252" customWidth="1"/>
    <col min="5600" max="5600" width="9.28515625" style="252" bestFit="1" customWidth="1"/>
    <col min="5601" max="5606" width="9.28515625" style="252" customWidth="1"/>
    <col min="5607" max="5620" width="0" style="252" hidden="1" customWidth="1"/>
    <col min="5621" max="5621" width="9.28515625" style="252" customWidth="1"/>
    <col min="5622" max="5622" width="30" style="252" customWidth="1"/>
    <col min="5623" max="5625" width="0" style="252" hidden="1" customWidth="1"/>
    <col min="5626" max="5633" width="9.28515625" style="252" customWidth="1"/>
    <col min="5634" max="5634" width="10.140625" style="252" customWidth="1"/>
    <col min="5635" max="5636" width="9.28515625" style="252" customWidth="1"/>
    <col min="5637" max="5650" width="0" style="252" hidden="1" customWidth="1"/>
    <col min="5651" max="5652" width="9.140625" style="252"/>
    <col min="5653" max="5653" width="29" style="252" bestFit="1" customWidth="1"/>
    <col min="5654" max="5654" width="9.28515625" style="252" bestFit="1" customWidth="1"/>
    <col min="5655" max="5847" width="9.140625" style="252"/>
    <col min="5848" max="5848" width="30.140625" style="252" customWidth="1"/>
    <col min="5849" max="5851" width="0" style="252" hidden="1" customWidth="1"/>
    <col min="5852" max="5855" width="9.28515625" style="252" customWidth="1"/>
    <col min="5856" max="5856" width="9.28515625" style="252" bestFit="1" customWidth="1"/>
    <col min="5857" max="5862" width="9.28515625" style="252" customWidth="1"/>
    <col min="5863" max="5876" width="0" style="252" hidden="1" customWidth="1"/>
    <col min="5877" max="5877" width="9.28515625" style="252" customWidth="1"/>
    <col min="5878" max="5878" width="30" style="252" customWidth="1"/>
    <col min="5879" max="5881" width="0" style="252" hidden="1" customWidth="1"/>
    <col min="5882" max="5889" width="9.28515625" style="252" customWidth="1"/>
    <col min="5890" max="5890" width="10.140625" style="252" customWidth="1"/>
    <col min="5891" max="5892" width="9.28515625" style="252" customWidth="1"/>
    <col min="5893" max="5906" width="0" style="252" hidden="1" customWidth="1"/>
    <col min="5907" max="5908" width="9.140625" style="252"/>
    <col min="5909" max="5909" width="29" style="252" bestFit="1" customWidth="1"/>
    <col min="5910" max="5910" width="9.28515625" style="252" bestFit="1" customWidth="1"/>
    <col min="5911" max="6103" width="9.140625" style="252"/>
    <col min="6104" max="6104" width="30.140625" style="252" customWidth="1"/>
    <col min="6105" max="6107" width="0" style="252" hidden="1" customWidth="1"/>
    <col min="6108" max="6111" width="9.28515625" style="252" customWidth="1"/>
    <col min="6112" max="6112" width="9.28515625" style="252" bestFit="1" customWidth="1"/>
    <col min="6113" max="6118" width="9.28515625" style="252" customWidth="1"/>
    <col min="6119" max="6132" width="0" style="252" hidden="1" customWidth="1"/>
    <col min="6133" max="6133" width="9.28515625" style="252" customWidth="1"/>
    <col min="6134" max="6134" width="30" style="252" customWidth="1"/>
    <col min="6135" max="6137" width="0" style="252" hidden="1" customWidth="1"/>
    <col min="6138" max="6145" width="9.28515625" style="252" customWidth="1"/>
    <col min="6146" max="6146" width="10.140625" style="252" customWidth="1"/>
    <col min="6147" max="6148" width="9.28515625" style="252" customWidth="1"/>
    <col min="6149" max="6162" width="0" style="252" hidden="1" customWidth="1"/>
    <col min="6163" max="6164" width="9.140625" style="252"/>
    <col min="6165" max="6165" width="29" style="252" bestFit="1" customWidth="1"/>
    <col min="6166" max="6166" width="9.28515625" style="252" bestFit="1" customWidth="1"/>
    <col min="6167" max="6359" width="9.140625" style="252"/>
    <col min="6360" max="6360" width="30.140625" style="252" customWidth="1"/>
    <col min="6361" max="6363" width="0" style="252" hidden="1" customWidth="1"/>
    <col min="6364" max="6367" width="9.28515625" style="252" customWidth="1"/>
    <col min="6368" max="6368" width="9.28515625" style="252" bestFit="1" customWidth="1"/>
    <col min="6369" max="6374" width="9.28515625" style="252" customWidth="1"/>
    <col min="6375" max="6388" width="0" style="252" hidden="1" customWidth="1"/>
    <col min="6389" max="6389" width="9.28515625" style="252" customWidth="1"/>
    <col min="6390" max="6390" width="30" style="252" customWidth="1"/>
    <col min="6391" max="6393" width="0" style="252" hidden="1" customWidth="1"/>
    <col min="6394" max="6401" width="9.28515625" style="252" customWidth="1"/>
    <col min="6402" max="6402" width="10.140625" style="252" customWidth="1"/>
    <col min="6403" max="6404" width="9.28515625" style="252" customWidth="1"/>
    <col min="6405" max="6418" width="0" style="252" hidden="1" customWidth="1"/>
    <col min="6419" max="6420" width="9.140625" style="252"/>
    <col min="6421" max="6421" width="29" style="252" bestFit="1" customWidth="1"/>
    <col min="6422" max="6422" width="9.28515625" style="252" bestFit="1" customWidth="1"/>
    <col min="6423" max="6615" width="9.140625" style="252"/>
    <col min="6616" max="6616" width="30.140625" style="252" customWidth="1"/>
    <col min="6617" max="6619" width="0" style="252" hidden="1" customWidth="1"/>
    <col min="6620" max="6623" width="9.28515625" style="252" customWidth="1"/>
    <col min="6624" max="6624" width="9.28515625" style="252" bestFit="1" customWidth="1"/>
    <col min="6625" max="6630" width="9.28515625" style="252" customWidth="1"/>
    <col min="6631" max="6644" width="0" style="252" hidden="1" customWidth="1"/>
    <col min="6645" max="6645" width="9.28515625" style="252" customWidth="1"/>
    <col min="6646" max="6646" width="30" style="252" customWidth="1"/>
    <col min="6647" max="6649" width="0" style="252" hidden="1" customWidth="1"/>
    <col min="6650" max="6657" width="9.28515625" style="252" customWidth="1"/>
    <col min="6658" max="6658" width="10.140625" style="252" customWidth="1"/>
    <col min="6659" max="6660" width="9.28515625" style="252" customWidth="1"/>
    <col min="6661" max="6674" width="0" style="252" hidden="1" customWidth="1"/>
    <col min="6675" max="6676" width="9.140625" style="252"/>
    <col min="6677" max="6677" width="29" style="252" bestFit="1" customWidth="1"/>
    <col min="6678" max="6678" width="9.28515625" style="252" bestFit="1" customWidth="1"/>
    <col min="6679" max="6871" width="9.140625" style="252"/>
    <col min="6872" max="6872" width="30.140625" style="252" customWidth="1"/>
    <col min="6873" max="6875" width="0" style="252" hidden="1" customWidth="1"/>
    <col min="6876" max="6879" width="9.28515625" style="252" customWidth="1"/>
    <col min="6880" max="6880" width="9.28515625" style="252" bestFit="1" customWidth="1"/>
    <col min="6881" max="6886" width="9.28515625" style="252" customWidth="1"/>
    <col min="6887" max="6900" width="0" style="252" hidden="1" customWidth="1"/>
    <col min="6901" max="6901" width="9.28515625" style="252" customWidth="1"/>
    <col min="6902" max="6902" width="30" style="252" customWidth="1"/>
    <col min="6903" max="6905" width="0" style="252" hidden="1" customWidth="1"/>
    <col min="6906" max="6913" width="9.28515625" style="252" customWidth="1"/>
    <col min="6914" max="6914" width="10.140625" style="252" customWidth="1"/>
    <col min="6915" max="6916" width="9.28515625" style="252" customWidth="1"/>
    <col min="6917" max="6930" width="0" style="252" hidden="1" customWidth="1"/>
    <col min="6931" max="6932" width="9.140625" style="252"/>
    <col min="6933" max="6933" width="29" style="252" bestFit="1" customWidth="1"/>
    <col min="6934" max="6934" width="9.28515625" style="252" bestFit="1" customWidth="1"/>
    <col min="6935" max="7127" width="9.140625" style="252"/>
    <col min="7128" max="7128" width="30.140625" style="252" customWidth="1"/>
    <col min="7129" max="7131" width="0" style="252" hidden="1" customWidth="1"/>
    <col min="7132" max="7135" width="9.28515625" style="252" customWidth="1"/>
    <col min="7136" max="7136" width="9.28515625" style="252" bestFit="1" customWidth="1"/>
    <col min="7137" max="7142" width="9.28515625" style="252" customWidth="1"/>
    <col min="7143" max="7156" width="0" style="252" hidden="1" customWidth="1"/>
    <col min="7157" max="7157" width="9.28515625" style="252" customWidth="1"/>
    <col min="7158" max="7158" width="30" style="252" customWidth="1"/>
    <col min="7159" max="7161" width="0" style="252" hidden="1" customWidth="1"/>
    <col min="7162" max="7169" width="9.28515625" style="252" customWidth="1"/>
    <col min="7170" max="7170" width="10.140625" style="252" customWidth="1"/>
    <col min="7171" max="7172" width="9.28515625" style="252" customWidth="1"/>
    <col min="7173" max="7186" width="0" style="252" hidden="1" customWidth="1"/>
    <col min="7187" max="7188" width="9.140625" style="252"/>
    <col min="7189" max="7189" width="29" style="252" bestFit="1" customWidth="1"/>
    <col min="7190" max="7190" width="9.28515625" style="252" bestFit="1" customWidth="1"/>
    <col min="7191" max="7383" width="9.140625" style="252"/>
    <col min="7384" max="7384" width="30.140625" style="252" customWidth="1"/>
    <col min="7385" max="7387" width="0" style="252" hidden="1" customWidth="1"/>
    <col min="7388" max="7391" width="9.28515625" style="252" customWidth="1"/>
    <col min="7392" max="7392" width="9.28515625" style="252" bestFit="1" customWidth="1"/>
    <col min="7393" max="7398" width="9.28515625" style="252" customWidth="1"/>
    <col min="7399" max="7412" width="0" style="252" hidden="1" customWidth="1"/>
    <col min="7413" max="7413" width="9.28515625" style="252" customWidth="1"/>
    <col min="7414" max="7414" width="30" style="252" customWidth="1"/>
    <col min="7415" max="7417" width="0" style="252" hidden="1" customWidth="1"/>
    <col min="7418" max="7425" width="9.28515625" style="252" customWidth="1"/>
    <col min="7426" max="7426" width="10.140625" style="252" customWidth="1"/>
    <col min="7427" max="7428" width="9.28515625" style="252" customWidth="1"/>
    <col min="7429" max="7442" width="0" style="252" hidden="1" customWidth="1"/>
    <col min="7443" max="7444" width="9.140625" style="252"/>
    <col min="7445" max="7445" width="29" style="252" bestFit="1" customWidth="1"/>
    <col min="7446" max="7446" width="9.28515625" style="252" bestFit="1" customWidth="1"/>
    <col min="7447" max="7639" width="9.140625" style="252"/>
    <col min="7640" max="7640" width="30.140625" style="252" customWidth="1"/>
    <col min="7641" max="7643" width="0" style="252" hidden="1" customWidth="1"/>
    <col min="7644" max="7647" width="9.28515625" style="252" customWidth="1"/>
    <col min="7648" max="7648" width="9.28515625" style="252" bestFit="1" customWidth="1"/>
    <col min="7649" max="7654" width="9.28515625" style="252" customWidth="1"/>
    <col min="7655" max="7668" width="0" style="252" hidden="1" customWidth="1"/>
    <col min="7669" max="7669" width="9.28515625" style="252" customWidth="1"/>
    <col min="7670" max="7670" width="30" style="252" customWidth="1"/>
    <col min="7671" max="7673" width="0" style="252" hidden="1" customWidth="1"/>
    <col min="7674" max="7681" width="9.28515625" style="252" customWidth="1"/>
    <col min="7682" max="7682" width="10.140625" style="252" customWidth="1"/>
    <col min="7683" max="7684" width="9.28515625" style="252" customWidth="1"/>
    <col min="7685" max="7698" width="0" style="252" hidden="1" customWidth="1"/>
    <col min="7699" max="7700" width="9.140625" style="252"/>
    <col min="7701" max="7701" width="29" style="252" bestFit="1" customWidth="1"/>
    <col min="7702" max="7702" width="9.28515625" style="252" bestFit="1" customWidth="1"/>
    <col min="7703" max="7895" width="9.140625" style="252"/>
    <col min="7896" max="7896" width="30.140625" style="252" customWidth="1"/>
    <col min="7897" max="7899" width="0" style="252" hidden="1" customWidth="1"/>
    <col min="7900" max="7903" width="9.28515625" style="252" customWidth="1"/>
    <col min="7904" max="7904" width="9.28515625" style="252" bestFit="1" customWidth="1"/>
    <col min="7905" max="7910" width="9.28515625" style="252" customWidth="1"/>
    <col min="7911" max="7924" width="0" style="252" hidden="1" customWidth="1"/>
    <col min="7925" max="7925" width="9.28515625" style="252" customWidth="1"/>
    <col min="7926" max="7926" width="30" style="252" customWidth="1"/>
    <col min="7927" max="7929" width="0" style="252" hidden="1" customWidth="1"/>
    <col min="7930" max="7937" width="9.28515625" style="252" customWidth="1"/>
    <col min="7938" max="7938" width="10.140625" style="252" customWidth="1"/>
    <col min="7939" max="7940" width="9.28515625" style="252" customWidth="1"/>
    <col min="7941" max="7954" width="0" style="252" hidden="1" customWidth="1"/>
    <col min="7955" max="7956" width="9.140625" style="252"/>
    <col min="7957" max="7957" width="29" style="252" bestFit="1" customWidth="1"/>
    <col min="7958" max="7958" width="9.28515625" style="252" bestFit="1" customWidth="1"/>
    <col min="7959" max="8151" width="9.140625" style="252"/>
    <col min="8152" max="8152" width="30.140625" style="252" customWidth="1"/>
    <col min="8153" max="8155" width="0" style="252" hidden="1" customWidth="1"/>
    <col min="8156" max="8159" width="9.28515625" style="252" customWidth="1"/>
    <col min="8160" max="8160" width="9.28515625" style="252" bestFit="1" customWidth="1"/>
    <col min="8161" max="8166" width="9.28515625" style="252" customWidth="1"/>
    <col min="8167" max="8180" width="0" style="252" hidden="1" customWidth="1"/>
    <col min="8181" max="8181" width="9.28515625" style="252" customWidth="1"/>
    <col min="8182" max="8182" width="30" style="252" customWidth="1"/>
    <col min="8183" max="8185" width="0" style="252" hidden="1" customWidth="1"/>
    <col min="8186" max="8193" width="9.28515625" style="252" customWidth="1"/>
    <col min="8194" max="8194" width="10.140625" style="252" customWidth="1"/>
    <col min="8195" max="8196" width="9.28515625" style="252" customWidth="1"/>
    <col min="8197" max="8210" width="0" style="252" hidden="1" customWidth="1"/>
    <col min="8211" max="8212" width="9.140625" style="252"/>
    <col min="8213" max="8213" width="29" style="252" bestFit="1" customWidth="1"/>
    <col min="8214" max="8214" width="9.28515625" style="252" bestFit="1" customWidth="1"/>
    <col min="8215" max="8407" width="9.140625" style="252"/>
    <col min="8408" max="8408" width="30.140625" style="252" customWidth="1"/>
    <col min="8409" max="8411" width="0" style="252" hidden="1" customWidth="1"/>
    <col min="8412" max="8415" width="9.28515625" style="252" customWidth="1"/>
    <col min="8416" max="8416" width="9.28515625" style="252" bestFit="1" customWidth="1"/>
    <col min="8417" max="8422" width="9.28515625" style="252" customWidth="1"/>
    <col min="8423" max="8436" width="0" style="252" hidden="1" customWidth="1"/>
    <col min="8437" max="8437" width="9.28515625" style="252" customWidth="1"/>
    <col min="8438" max="8438" width="30" style="252" customWidth="1"/>
    <col min="8439" max="8441" width="0" style="252" hidden="1" customWidth="1"/>
    <col min="8442" max="8449" width="9.28515625" style="252" customWidth="1"/>
    <col min="8450" max="8450" width="10.140625" style="252" customWidth="1"/>
    <col min="8451" max="8452" width="9.28515625" style="252" customWidth="1"/>
    <col min="8453" max="8466" width="0" style="252" hidden="1" customWidth="1"/>
    <col min="8467" max="8468" width="9.140625" style="252"/>
    <col min="8469" max="8469" width="29" style="252" bestFit="1" customWidth="1"/>
    <col min="8470" max="8470" width="9.28515625" style="252" bestFit="1" customWidth="1"/>
    <col min="8471" max="8663" width="9.140625" style="252"/>
    <col min="8664" max="8664" width="30.140625" style="252" customWidth="1"/>
    <col min="8665" max="8667" width="0" style="252" hidden="1" customWidth="1"/>
    <col min="8668" max="8671" width="9.28515625" style="252" customWidth="1"/>
    <col min="8672" max="8672" width="9.28515625" style="252" bestFit="1" customWidth="1"/>
    <col min="8673" max="8678" width="9.28515625" style="252" customWidth="1"/>
    <col min="8679" max="8692" width="0" style="252" hidden="1" customWidth="1"/>
    <col min="8693" max="8693" width="9.28515625" style="252" customWidth="1"/>
    <col min="8694" max="8694" width="30" style="252" customWidth="1"/>
    <col min="8695" max="8697" width="0" style="252" hidden="1" customWidth="1"/>
    <col min="8698" max="8705" width="9.28515625" style="252" customWidth="1"/>
    <col min="8706" max="8706" width="10.140625" style="252" customWidth="1"/>
    <col min="8707" max="8708" width="9.28515625" style="252" customWidth="1"/>
    <col min="8709" max="8722" width="0" style="252" hidden="1" customWidth="1"/>
    <col min="8723" max="8724" width="9.140625" style="252"/>
    <col min="8725" max="8725" width="29" style="252" bestFit="1" customWidth="1"/>
    <col min="8726" max="8726" width="9.28515625" style="252" bestFit="1" customWidth="1"/>
    <col min="8727" max="8919" width="9.140625" style="252"/>
    <col min="8920" max="8920" width="30.140625" style="252" customWidth="1"/>
    <col min="8921" max="8923" width="0" style="252" hidden="1" customWidth="1"/>
    <col min="8924" max="8927" width="9.28515625" style="252" customWidth="1"/>
    <col min="8928" max="8928" width="9.28515625" style="252" bestFit="1" customWidth="1"/>
    <col min="8929" max="8934" width="9.28515625" style="252" customWidth="1"/>
    <col min="8935" max="8948" width="0" style="252" hidden="1" customWidth="1"/>
    <col min="8949" max="8949" width="9.28515625" style="252" customWidth="1"/>
    <col min="8950" max="8950" width="30" style="252" customWidth="1"/>
    <col min="8951" max="8953" width="0" style="252" hidden="1" customWidth="1"/>
    <col min="8954" max="8961" width="9.28515625" style="252" customWidth="1"/>
    <col min="8962" max="8962" width="10.140625" style="252" customWidth="1"/>
    <col min="8963" max="8964" width="9.28515625" style="252" customWidth="1"/>
    <col min="8965" max="8978" width="0" style="252" hidden="1" customWidth="1"/>
    <col min="8979" max="8980" width="9.140625" style="252"/>
    <col min="8981" max="8981" width="29" style="252" bestFit="1" customWidth="1"/>
    <col min="8982" max="8982" width="9.28515625" style="252" bestFit="1" customWidth="1"/>
    <col min="8983" max="9175" width="9.140625" style="252"/>
    <col min="9176" max="9176" width="30.140625" style="252" customWidth="1"/>
    <col min="9177" max="9179" width="0" style="252" hidden="1" customWidth="1"/>
    <col min="9180" max="9183" width="9.28515625" style="252" customWidth="1"/>
    <col min="9184" max="9184" width="9.28515625" style="252" bestFit="1" customWidth="1"/>
    <col min="9185" max="9190" width="9.28515625" style="252" customWidth="1"/>
    <col min="9191" max="9204" width="0" style="252" hidden="1" customWidth="1"/>
    <col min="9205" max="9205" width="9.28515625" style="252" customWidth="1"/>
    <col min="9206" max="9206" width="30" style="252" customWidth="1"/>
    <col min="9207" max="9209" width="0" style="252" hidden="1" customWidth="1"/>
    <col min="9210" max="9217" width="9.28515625" style="252" customWidth="1"/>
    <col min="9218" max="9218" width="10.140625" style="252" customWidth="1"/>
    <col min="9219" max="9220" width="9.28515625" style="252" customWidth="1"/>
    <col min="9221" max="9234" width="0" style="252" hidden="1" customWidth="1"/>
    <col min="9235" max="9236" width="9.140625" style="252"/>
    <col min="9237" max="9237" width="29" style="252" bestFit="1" customWidth="1"/>
    <col min="9238" max="9238" width="9.28515625" style="252" bestFit="1" customWidth="1"/>
    <col min="9239" max="9431" width="9.140625" style="252"/>
    <col min="9432" max="9432" width="30.140625" style="252" customWidth="1"/>
    <col min="9433" max="9435" width="0" style="252" hidden="1" customWidth="1"/>
    <col min="9436" max="9439" width="9.28515625" style="252" customWidth="1"/>
    <col min="9440" max="9440" width="9.28515625" style="252" bestFit="1" customWidth="1"/>
    <col min="9441" max="9446" width="9.28515625" style="252" customWidth="1"/>
    <col min="9447" max="9460" width="0" style="252" hidden="1" customWidth="1"/>
    <col min="9461" max="9461" width="9.28515625" style="252" customWidth="1"/>
    <col min="9462" max="9462" width="30" style="252" customWidth="1"/>
    <col min="9463" max="9465" width="0" style="252" hidden="1" customWidth="1"/>
    <col min="9466" max="9473" width="9.28515625" style="252" customWidth="1"/>
    <col min="9474" max="9474" width="10.140625" style="252" customWidth="1"/>
    <col min="9475" max="9476" width="9.28515625" style="252" customWidth="1"/>
    <col min="9477" max="9490" width="0" style="252" hidden="1" customWidth="1"/>
    <col min="9491" max="9492" width="9.140625" style="252"/>
    <col min="9493" max="9493" width="29" style="252" bestFit="1" customWidth="1"/>
    <col min="9494" max="9494" width="9.28515625" style="252" bestFit="1" customWidth="1"/>
    <col min="9495" max="9687" width="9.140625" style="252"/>
    <col min="9688" max="9688" width="30.140625" style="252" customWidth="1"/>
    <col min="9689" max="9691" width="0" style="252" hidden="1" customWidth="1"/>
    <col min="9692" max="9695" width="9.28515625" style="252" customWidth="1"/>
    <col min="9696" max="9696" width="9.28515625" style="252" bestFit="1" customWidth="1"/>
    <col min="9697" max="9702" width="9.28515625" style="252" customWidth="1"/>
    <col min="9703" max="9716" width="0" style="252" hidden="1" customWidth="1"/>
    <col min="9717" max="9717" width="9.28515625" style="252" customWidth="1"/>
    <col min="9718" max="9718" width="30" style="252" customWidth="1"/>
    <col min="9719" max="9721" width="0" style="252" hidden="1" customWidth="1"/>
    <col min="9722" max="9729" width="9.28515625" style="252" customWidth="1"/>
    <col min="9730" max="9730" width="10.140625" style="252" customWidth="1"/>
    <col min="9731" max="9732" width="9.28515625" style="252" customWidth="1"/>
    <col min="9733" max="9746" width="0" style="252" hidden="1" customWidth="1"/>
    <col min="9747" max="9748" width="9.140625" style="252"/>
    <col min="9749" max="9749" width="29" style="252" bestFit="1" customWidth="1"/>
    <col min="9750" max="9750" width="9.28515625" style="252" bestFit="1" customWidth="1"/>
    <col min="9751" max="9943" width="9.140625" style="252"/>
    <col min="9944" max="9944" width="30.140625" style="252" customWidth="1"/>
    <col min="9945" max="9947" width="0" style="252" hidden="1" customWidth="1"/>
    <col min="9948" max="9951" width="9.28515625" style="252" customWidth="1"/>
    <col min="9952" max="9952" width="9.28515625" style="252" bestFit="1" customWidth="1"/>
    <col min="9953" max="9958" width="9.28515625" style="252" customWidth="1"/>
    <col min="9959" max="9972" width="0" style="252" hidden="1" customWidth="1"/>
    <col min="9973" max="9973" width="9.28515625" style="252" customWidth="1"/>
    <col min="9974" max="9974" width="30" style="252" customWidth="1"/>
    <col min="9975" max="9977" width="0" style="252" hidden="1" customWidth="1"/>
    <col min="9978" max="9985" width="9.28515625" style="252" customWidth="1"/>
    <col min="9986" max="9986" width="10.140625" style="252" customWidth="1"/>
    <col min="9987" max="9988" width="9.28515625" style="252" customWidth="1"/>
    <col min="9989" max="10002" width="0" style="252" hidden="1" customWidth="1"/>
    <col min="10003" max="10004" width="9.140625" style="252"/>
    <col min="10005" max="10005" width="29" style="252" bestFit="1" customWidth="1"/>
    <col min="10006" max="10006" width="9.28515625" style="252" bestFit="1" customWidth="1"/>
    <col min="10007" max="10199" width="9.140625" style="252"/>
    <col min="10200" max="10200" width="30.140625" style="252" customWidth="1"/>
    <col min="10201" max="10203" width="0" style="252" hidden="1" customWidth="1"/>
    <col min="10204" max="10207" width="9.28515625" style="252" customWidth="1"/>
    <col min="10208" max="10208" width="9.28515625" style="252" bestFit="1" customWidth="1"/>
    <col min="10209" max="10214" width="9.28515625" style="252" customWidth="1"/>
    <col min="10215" max="10228" width="0" style="252" hidden="1" customWidth="1"/>
    <col min="10229" max="10229" width="9.28515625" style="252" customWidth="1"/>
    <col min="10230" max="10230" width="30" style="252" customWidth="1"/>
    <col min="10231" max="10233" width="0" style="252" hidden="1" customWidth="1"/>
    <col min="10234" max="10241" width="9.28515625" style="252" customWidth="1"/>
    <col min="10242" max="10242" width="10.140625" style="252" customWidth="1"/>
    <col min="10243" max="10244" width="9.28515625" style="252" customWidth="1"/>
    <col min="10245" max="10258" width="0" style="252" hidden="1" customWidth="1"/>
    <col min="10259" max="10260" width="9.140625" style="252"/>
    <col min="10261" max="10261" width="29" style="252" bestFit="1" customWidth="1"/>
    <col min="10262" max="10262" width="9.28515625" style="252" bestFit="1" customWidth="1"/>
    <col min="10263" max="10455" width="9.140625" style="252"/>
    <col min="10456" max="10456" width="30.140625" style="252" customWidth="1"/>
    <col min="10457" max="10459" width="0" style="252" hidden="1" customWidth="1"/>
    <col min="10460" max="10463" width="9.28515625" style="252" customWidth="1"/>
    <col min="10464" max="10464" width="9.28515625" style="252" bestFit="1" customWidth="1"/>
    <col min="10465" max="10470" width="9.28515625" style="252" customWidth="1"/>
    <col min="10471" max="10484" width="0" style="252" hidden="1" customWidth="1"/>
    <col min="10485" max="10485" width="9.28515625" style="252" customWidth="1"/>
    <col min="10486" max="10486" width="30" style="252" customWidth="1"/>
    <col min="10487" max="10489" width="0" style="252" hidden="1" customWidth="1"/>
    <col min="10490" max="10497" width="9.28515625" style="252" customWidth="1"/>
    <col min="10498" max="10498" width="10.140625" style="252" customWidth="1"/>
    <col min="10499" max="10500" width="9.28515625" style="252" customWidth="1"/>
    <col min="10501" max="10514" width="0" style="252" hidden="1" customWidth="1"/>
    <col min="10515" max="10516" width="9.140625" style="252"/>
    <col min="10517" max="10517" width="29" style="252" bestFit="1" customWidth="1"/>
    <col min="10518" max="10518" width="9.28515625" style="252" bestFit="1" customWidth="1"/>
    <col min="10519" max="10711" width="9.140625" style="252"/>
    <col min="10712" max="10712" width="30.140625" style="252" customWidth="1"/>
    <col min="10713" max="10715" width="0" style="252" hidden="1" customWidth="1"/>
    <col min="10716" max="10719" width="9.28515625" style="252" customWidth="1"/>
    <col min="10720" max="10720" width="9.28515625" style="252" bestFit="1" customWidth="1"/>
    <col min="10721" max="10726" width="9.28515625" style="252" customWidth="1"/>
    <col min="10727" max="10740" width="0" style="252" hidden="1" customWidth="1"/>
    <col min="10741" max="10741" width="9.28515625" style="252" customWidth="1"/>
    <col min="10742" max="10742" width="30" style="252" customWidth="1"/>
    <col min="10743" max="10745" width="0" style="252" hidden="1" customWidth="1"/>
    <col min="10746" max="10753" width="9.28515625" style="252" customWidth="1"/>
    <col min="10754" max="10754" width="10.140625" style="252" customWidth="1"/>
    <col min="10755" max="10756" width="9.28515625" style="252" customWidth="1"/>
    <col min="10757" max="10770" width="0" style="252" hidden="1" customWidth="1"/>
    <col min="10771" max="10772" width="9.140625" style="252"/>
    <col min="10773" max="10773" width="29" style="252" bestFit="1" customWidth="1"/>
    <col min="10774" max="10774" width="9.28515625" style="252" bestFit="1" customWidth="1"/>
    <col min="10775" max="10967" width="9.140625" style="252"/>
    <col min="10968" max="10968" width="30.140625" style="252" customWidth="1"/>
    <col min="10969" max="10971" width="0" style="252" hidden="1" customWidth="1"/>
    <col min="10972" max="10975" width="9.28515625" style="252" customWidth="1"/>
    <col min="10976" max="10976" width="9.28515625" style="252" bestFit="1" customWidth="1"/>
    <col min="10977" max="10982" width="9.28515625" style="252" customWidth="1"/>
    <col min="10983" max="10996" width="0" style="252" hidden="1" customWidth="1"/>
    <col min="10997" max="10997" width="9.28515625" style="252" customWidth="1"/>
    <col min="10998" max="10998" width="30" style="252" customWidth="1"/>
    <col min="10999" max="11001" width="0" style="252" hidden="1" customWidth="1"/>
    <col min="11002" max="11009" width="9.28515625" style="252" customWidth="1"/>
    <col min="11010" max="11010" width="10.140625" style="252" customWidth="1"/>
    <col min="11011" max="11012" width="9.28515625" style="252" customWidth="1"/>
    <col min="11013" max="11026" width="0" style="252" hidden="1" customWidth="1"/>
    <col min="11027" max="11028" width="9.140625" style="252"/>
    <col min="11029" max="11029" width="29" style="252" bestFit="1" customWidth="1"/>
    <col min="11030" max="11030" width="9.28515625" style="252" bestFit="1" customWidth="1"/>
    <col min="11031" max="11223" width="9.140625" style="252"/>
    <col min="11224" max="11224" width="30.140625" style="252" customWidth="1"/>
    <col min="11225" max="11227" width="0" style="252" hidden="1" customWidth="1"/>
    <col min="11228" max="11231" width="9.28515625" style="252" customWidth="1"/>
    <col min="11232" max="11232" width="9.28515625" style="252" bestFit="1" customWidth="1"/>
    <col min="11233" max="11238" width="9.28515625" style="252" customWidth="1"/>
    <col min="11239" max="11252" width="0" style="252" hidden="1" customWidth="1"/>
    <col min="11253" max="11253" width="9.28515625" style="252" customWidth="1"/>
    <col min="11254" max="11254" width="30" style="252" customWidth="1"/>
    <col min="11255" max="11257" width="0" style="252" hidden="1" customWidth="1"/>
    <col min="11258" max="11265" width="9.28515625" style="252" customWidth="1"/>
    <col min="11266" max="11266" width="10.140625" style="252" customWidth="1"/>
    <col min="11267" max="11268" width="9.28515625" style="252" customWidth="1"/>
    <col min="11269" max="11282" width="0" style="252" hidden="1" customWidth="1"/>
    <col min="11283" max="11284" width="9.140625" style="252"/>
    <col min="11285" max="11285" width="29" style="252" bestFit="1" customWidth="1"/>
    <col min="11286" max="11286" width="9.28515625" style="252" bestFit="1" customWidth="1"/>
    <col min="11287" max="11479" width="9.140625" style="252"/>
    <col min="11480" max="11480" width="30.140625" style="252" customWidth="1"/>
    <col min="11481" max="11483" width="0" style="252" hidden="1" customWidth="1"/>
    <col min="11484" max="11487" width="9.28515625" style="252" customWidth="1"/>
    <col min="11488" max="11488" width="9.28515625" style="252" bestFit="1" customWidth="1"/>
    <col min="11489" max="11494" width="9.28515625" style="252" customWidth="1"/>
    <col min="11495" max="11508" width="0" style="252" hidden="1" customWidth="1"/>
    <col min="11509" max="11509" width="9.28515625" style="252" customWidth="1"/>
    <col min="11510" max="11510" width="30" style="252" customWidth="1"/>
    <col min="11511" max="11513" width="0" style="252" hidden="1" customWidth="1"/>
    <col min="11514" max="11521" width="9.28515625" style="252" customWidth="1"/>
    <col min="11522" max="11522" width="10.140625" style="252" customWidth="1"/>
    <col min="11523" max="11524" width="9.28515625" style="252" customWidth="1"/>
    <col min="11525" max="11538" width="0" style="252" hidden="1" customWidth="1"/>
    <col min="11539" max="11540" width="9.140625" style="252"/>
    <col min="11541" max="11541" width="29" style="252" bestFit="1" customWidth="1"/>
    <col min="11542" max="11542" width="9.28515625" style="252" bestFit="1" customWidth="1"/>
    <col min="11543" max="11735" width="9.140625" style="252"/>
    <col min="11736" max="11736" width="30.140625" style="252" customWidth="1"/>
    <col min="11737" max="11739" width="0" style="252" hidden="1" customWidth="1"/>
    <col min="11740" max="11743" width="9.28515625" style="252" customWidth="1"/>
    <col min="11744" max="11744" width="9.28515625" style="252" bestFit="1" customWidth="1"/>
    <col min="11745" max="11750" width="9.28515625" style="252" customWidth="1"/>
    <col min="11751" max="11764" width="0" style="252" hidden="1" customWidth="1"/>
    <col min="11765" max="11765" width="9.28515625" style="252" customWidth="1"/>
    <col min="11766" max="11766" width="30" style="252" customWidth="1"/>
    <col min="11767" max="11769" width="0" style="252" hidden="1" customWidth="1"/>
    <col min="11770" max="11777" width="9.28515625" style="252" customWidth="1"/>
    <col min="11778" max="11778" width="10.140625" style="252" customWidth="1"/>
    <col min="11779" max="11780" width="9.28515625" style="252" customWidth="1"/>
    <col min="11781" max="11794" width="0" style="252" hidden="1" customWidth="1"/>
    <col min="11795" max="11796" width="9.140625" style="252"/>
    <col min="11797" max="11797" width="29" style="252" bestFit="1" customWidth="1"/>
    <col min="11798" max="11798" width="9.28515625" style="252" bestFit="1" customWidth="1"/>
    <col min="11799" max="11991" width="9.140625" style="252"/>
    <col min="11992" max="11992" width="30.140625" style="252" customWidth="1"/>
    <col min="11993" max="11995" width="0" style="252" hidden="1" customWidth="1"/>
    <col min="11996" max="11999" width="9.28515625" style="252" customWidth="1"/>
    <col min="12000" max="12000" width="9.28515625" style="252" bestFit="1" customWidth="1"/>
    <col min="12001" max="12006" width="9.28515625" style="252" customWidth="1"/>
    <col min="12007" max="12020" width="0" style="252" hidden="1" customWidth="1"/>
    <col min="12021" max="12021" width="9.28515625" style="252" customWidth="1"/>
    <col min="12022" max="12022" width="30" style="252" customWidth="1"/>
    <col min="12023" max="12025" width="0" style="252" hidden="1" customWidth="1"/>
    <col min="12026" max="12033" width="9.28515625" style="252" customWidth="1"/>
    <col min="12034" max="12034" width="10.140625" style="252" customWidth="1"/>
    <col min="12035" max="12036" width="9.28515625" style="252" customWidth="1"/>
    <col min="12037" max="12050" width="0" style="252" hidden="1" customWidth="1"/>
    <col min="12051" max="12052" width="9.140625" style="252"/>
    <col min="12053" max="12053" width="29" style="252" bestFit="1" customWidth="1"/>
    <col min="12054" max="12054" width="9.28515625" style="252" bestFit="1" customWidth="1"/>
    <col min="12055" max="12247" width="9.140625" style="252"/>
    <col min="12248" max="12248" width="30.140625" style="252" customWidth="1"/>
    <col min="12249" max="12251" width="0" style="252" hidden="1" customWidth="1"/>
    <col min="12252" max="12255" width="9.28515625" style="252" customWidth="1"/>
    <col min="12256" max="12256" width="9.28515625" style="252" bestFit="1" customWidth="1"/>
    <col min="12257" max="12262" width="9.28515625" style="252" customWidth="1"/>
    <col min="12263" max="12276" width="0" style="252" hidden="1" customWidth="1"/>
    <col min="12277" max="12277" width="9.28515625" style="252" customWidth="1"/>
    <col min="12278" max="12278" width="30" style="252" customWidth="1"/>
    <col min="12279" max="12281" width="0" style="252" hidden="1" customWidth="1"/>
    <col min="12282" max="12289" width="9.28515625" style="252" customWidth="1"/>
    <col min="12290" max="12290" width="10.140625" style="252" customWidth="1"/>
    <col min="12291" max="12292" width="9.28515625" style="252" customWidth="1"/>
    <col min="12293" max="12306" width="0" style="252" hidden="1" customWidth="1"/>
    <col min="12307" max="12308" width="9.140625" style="252"/>
    <col min="12309" max="12309" width="29" style="252" bestFit="1" customWidth="1"/>
    <col min="12310" max="12310" width="9.28515625" style="252" bestFit="1" customWidth="1"/>
    <col min="12311" max="12503" width="9.140625" style="252"/>
    <col min="12504" max="12504" width="30.140625" style="252" customWidth="1"/>
    <col min="12505" max="12507" width="0" style="252" hidden="1" customWidth="1"/>
    <col min="12508" max="12511" width="9.28515625" style="252" customWidth="1"/>
    <col min="12512" max="12512" width="9.28515625" style="252" bestFit="1" customWidth="1"/>
    <col min="12513" max="12518" width="9.28515625" style="252" customWidth="1"/>
    <col min="12519" max="12532" width="0" style="252" hidden="1" customWidth="1"/>
    <col min="12533" max="12533" width="9.28515625" style="252" customWidth="1"/>
    <col min="12534" max="12534" width="30" style="252" customWidth="1"/>
    <col min="12535" max="12537" width="0" style="252" hidden="1" customWidth="1"/>
    <col min="12538" max="12545" width="9.28515625" style="252" customWidth="1"/>
    <col min="12546" max="12546" width="10.140625" style="252" customWidth="1"/>
    <col min="12547" max="12548" width="9.28515625" style="252" customWidth="1"/>
    <col min="12549" max="12562" width="0" style="252" hidden="1" customWidth="1"/>
    <col min="12563" max="12564" width="9.140625" style="252"/>
    <col min="12565" max="12565" width="29" style="252" bestFit="1" customWidth="1"/>
    <col min="12566" max="12566" width="9.28515625" style="252" bestFit="1" customWidth="1"/>
    <col min="12567" max="12759" width="9.140625" style="252"/>
    <col min="12760" max="12760" width="30.140625" style="252" customWidth="1"/>
    <col min="12761" max="12763" width="0" style="252" hidden="1" customWidth="1"/>
    <col min="12764" max="12767" width="9.28515625" style="252" customWidth="1"/>
    <col min="12768" max="12768" width="9.28515625" style="252" bestFit="1" customWidth="1"/>
    <col min="12769" max="12774" width="9.28515625" style="252" customWidth="1"/>
    <col min="12775" max="12788" width="0" style="252" hidden="1" customWidth="1"/>
    <col min="12789" max="12789" width="9.28515625" style="252" customWidth="1"/>
    <col min="12790" max="12790" width="30" style="252" customWidth="1"/>
    <col min="12791" max="12793" width="0" style="252" hidden="1" customWidth="1"/>
    <col min="12794" max="12801" width="9.28515625" style="252" customWidth="1"/>
    <col min="12802" max="12802" width="10.140625" style="252" customWidth="1"/>
    <col min="12803" max="12804" width="9.28515625" style="252" customWidth="1"/>
    <col min="12805" max="12818" width="0" style="252" hidden="1" customWidth="1"/>
    <col min="12819" max="12820" width="9.140625" style="252"/>
    <col min="12821" max="12821" width="29" style="252" bestFit="1" customWidth="1"/>
    <col min="12822" max="12822" width="9.28515625" style="252" bestFit="1" customWidth="1"/>
    <col min="12823" max="13015" width="9.140625" style="252"/>
    <col min="13016" max="13016" width="30.140625" style="252" customWidth="1"/>
    <col min="13017" max="13019" width="0" style="252" hidden="1" customWidth="1"/>
    <col min="13020" max="13023" width="9.28515625" style="252" customWidth="1"/>
    <col min="13024" max="13024" width="9.28515625" style="252" bestFit="1" customWidth="1"/>
    <col min="13025" max="13030" width="9.28515625" style="252" customWidth="1"/>
    <col min="13031" max="13044" width="0" style="252" hidden="1" customWidth="1"/>
    <col min="13045" max="13045" width="9.28515625" style="252" customWidth="1"/>
    <col min="13046" max="13046" width="30" style="252" customWidth="1"/>
    <col min="13047" max="13049" width="0" style="252" hidden="1" customWidth="1"/>
    <col min="13050" max="13057" width="9.28515625" style="252" customWidth="1"/>
    <col min="13058" max="13058" width="10.140625" style="252" customWidth="1"/>
    <col min="13059" max="13060" width="9.28515625" style="252" customWidth="1"/>
    <col min="13061" max="13074" width="0" style="252" hidden="1" customWidth="1"/>
    <col min="13075" max="13076" width="9.140625" style="252"/>
    <col min="13077" max="13077" width="29" style="252" bestFit="1" customWidth="1"/>
    <col min="13078" max="13078" width="9.28515625" style="252" bestFit="1" customWidth="1"/>
    <col min="13079" max="13271" width="9.140625" style="252"/>
    <col min="13272" max="13272" width="30.140625" style="252" customWidth="1"/>
    <col min="13273" max="13275" width="0" style="252" hidden="1" customWidth="1"/>
    <col min="13276" max="13279" width="9.28515625" style="252" customWidth="1"/>
    <col min="13280" max="13280" width="9.28515625" style="252" bestFit="1" customWidth="1"/>
    <col min="13281" max="13286" width="9.28515625" style="252" customWidth="1"/>
    <col min="13287" max="13300" width="0" style="252" hidden="1" customWidth="1"/>
    <col min="13301" max="13301" width="9.28515625" style="252" customWidth="1"/>
    <col min="13302" max="13302" width="30" style="252" customWidth="1"/>
    <col min="13303" max="13305" width="0" style="252" hidden="1" customWidth="1"/>
    <col min="13306" max="13313" width="9.28515625" style="252" customWidth="1"/>
    <col min="13314" max="13314" width="10.140625" style="252" customWidth="1"/>
    <col min="13315" max="13316" width="9.28515625" style="252" customWidth="1"/>
    <col min="13317" max="13330" width="0" style="252" hidden="1" customWidth="1"/>
    <col min="13331" max="13332" width="9.140625" style="252"/>
    <col min="13333" max="13333" width="29" style="252" bestFit="1" customWidth="1"/>
    <col min="13334" max="13334" width="9.28515625" style="252" bestFit="1" customWidth="1"/>
    <col min="13335" max="13527" width="9.140625" style="252"/>
    <col min="13528" max="13528" width="30.140625" style="252" customWidth="1"/>
    <col min="13529" max="13531" width="0" style="252" hidden="1" customWidth="1"/>
    <col min="13532" max="13535" width="9.28515625" style="252" customWidth="1"/>
    <col min="13536" max="13536" width="9.28515625" style="252" bestFit="1" customWidth="1"/>
    <col min="13537" max="13542" width="9.28515625" style="252" customWidth="1"/>
    <col min="13543" max="13556" width="0" style="252" hidden="1" customWidth="1"/>
    <col min="13557" max="13557" width="9.28515625" style="252" customWidth="1"/>
    <col min="13558" max="13558" width="30" style="252" customWidth="1"/>
    <col min="13559" max="13561" width="0" style="252" hidden="1" customWidth="1"/>
    <col min="13562" max="13569" width="9.28515625" style="252" customWidth="1"/>
    <col min="13570" max="13570" width="10.140625" style="252" customWidth="1"/>
    <col min="13571" max="13572" width="9.28515625" style="252" customWidth="1"/>
    <col min="13573" max="13586" width="0" style="252" hidden="1" customWidth="1"/>
    <col min="13587" max="13588" width="9.140625" style="252"/>
    <col min="13589" max="13589" width="29" style="252" bestFit="1" customWidth="1"/>
    <col min="13590" max="13590" width="9.28515625" style="252" bestFit="1" customWidth="1"/>
    <col min="13591" max="13783" width="9.140625" style="252"/>
    <col min="13784" max="13784" width="30.140625" style="252" customWidth="1"/>
    <col min="13785" max="13787" width="0" style="252" hidden="1" customWidth="1"/>
    <col min="13788" max="13791" width="9.28515625" style="252" customWidth="1"/>
    <col min="13792" max="13792" width="9.28515625" style="252" bestFit="1" customWidth="1"/>
    <col min="13793" max="13798" width="9.28515625" style="252" customWidth="1"/>
    <col min="13799" max="13812" width="0" style="252" hidden="1" customWidth="1"/>
    <col min="13813" max="13813" width="9.28515625" style="252" customWidth="1"/>
    <col min="13814" max="13814" width="30" style="252" customWidth="1"/>
    <col min="13815" max="13817" width="0" style="252" hidden="1" customWidth="1"/>
    <col min="13818" max="13825" width="9.28515625" style="252" customWidth="1"/>
    <col min="13826" max="13826" width="10.140625" style="252" customWidth="1"/>
    <col min="13827" max="13828" width="9.28515625" style="252" customWidth="1"/>
    <col min="13829" max="13842" width="0" style="252" hidden="1" customWidth="1"/>
    <col min="13843" max="13844" width="9.140625" style="252"/>
    <col min="13845" max="13845" width="29" style="252" bestFit="1" customWidth="1"/>
    <col min="13846" max="13846" width="9.28515625" style="252" bestFit="1" customWidth="1"/>
    <col min="13847" max="14039" width="9.140625" style="252"/>
    <col min="14040" max="14040" width="30.140625" style="252" customWidth="1"/>
    <col min="14041" max="14043" width="0" style="252" hidden="1" customWidth="1"/>
    <col min="14044" max="14047" width="9.28515625" style="252" customWidth="1"/>
    <col min="14048" max="14048" width="9.28515625" style="252" bestFit="1" customWidth="1"/>
    <col min="14049" max="14054" width="9.28515625" style="252" customWidth="1"/>
    <col min="14055" max="14068" width="0" style="252" hidden="1" customWidth="1"/>
    <col min="14069" max="14069" width="9.28515625" style="252" customWidth="1"/>
    <col min="14070" max="14070" width="30" style="252" customWidth="1"/>
    <col min="14071" max="14073" width="0" style="252" hidden="1" customWidth="1"/>
    <col min="14074" max="14081" width="9.28515625" style="252" customWidth="1"/>
    <col min="14082" max="14082" width="10.140625" style="252" customWidth="1"/>
    <col min="14083" max="14084" width="9.28515625" style="252" customWidth="1"/>
    <col min="14085" max="14098" width="0" style="252" hidden="1" customWidth="1"/>
    <col min="14099" max="14100" width="9.140625" style="252"/>
    <col min="14101" max="14101" width="29" style="252" bestFit="1" customWidth="1"/>
    <col min="14102" max="14102" width="9.28515625" style="252" bestFit="1" customWidth="1"/>
    <col min="14103" max="14295" width="9.140625" style="252"/>
    <col min="14296" max="14296" width="30.140625" style="252" customWidth="1"/>
    <col min="14297" max="14299" width="0" style="252" hidden="1" customWidth="1"/>
    <col min="14300" max="14303" width="9.28515625" style="252" customWidth="1"/>
    <col min="14304" max="14304" width="9.28515625" style="252" bestFit="1" customWidth="1"/>
    <col min="14305" max="14310" width="9.28515625" style="252" customWidth="1"/>
    <col min="14311" max="14324" width="0" style="252" hidden="1" customWidth="1"/>
    <col min="14325" max="14325" width="9.28515625" style="252" customWidth="1"/>
    <col min="14326" max="14326" width="30" style="252" customWidth="1"/>
    <col min="14327" max="14329" width="0" style="252" hidden="1" customWidth="1"/>
    <col min="14330" max="14337" width="9.28515625" style="252" customWidth="1"/>
    <col min="14338" max="14338" width="10.140625" style="252" customWidth="1"/>
    <col min="14339" max="14340" width="9.28515625" style="252" customWidth="1"/>
    <col min="14341" max="14354" width="0" style="252" hidden="1" customWidth="1"/>
    <col min="14355" max="14356" width="9.140625" style="252"/>
    <col min="14357" max="14357" width="29" style="252" bestFit="1" customWidth="1"/>
    <col min="14358" max="14358" width="9.28515625" style="252" bestFit="1" customWidth="1"/>
    <col min="14359" max="14551" width="9.140625" style="252"/>
    <col min="14552" max="14552" width="30.140625" style="252" customWidth="1"/>
    <col min="14553" max="14555" width="0" style="252" hidden="1" customWidth="1"/>
    <col min="14556" max="14559" width="9.28515625" style="252" customWidth="1"/>
    <col min="14560" max="14560" width="9.28515625" style="252" bestFit="1" customWidth="1"/>
    <col min="14561" max="14566" width="9.28515625" style="252" customWidth="1"/>
    <col min="14567" max="14580" width="0" style="252" hidden="1" customWidth="1"/>
    <col min="14581" max="14581" width="9.28515625" style="252" customWidth="1"/>
    <col min="14582" max="14582" width="30" style="252" customWidth="1"/>
    <col min="14583" max="14585" width="0" style="252" hidden="1" customWidth="1"/>
    <col min="14586" max="14593" width="9.28515625" style="252" customWidth="1"/>
    <col min="14594" max="14594" width="10.140625" style="252" customWidth="1"/>
    <col min="14595" max="14596" width="9.28515625" style="252" customWidth="1"/>
    <col min="14597" max="14610" width="0" style="252" hidden="1" customWidth="1"/>
    <col min="14611" max="14612" width="9.140625" style="252"/>
    <col min="14613" max="14613" width="29" style="252" bestFit="1" customWidth="1"/>
    <col min="14614" max="14614" width="9.28515625" style="252" bestFit="1" customWidth="1"/>
    <col min="14615" max="14807" width="9.140625" style="252"/>
    <col min="14808" max="14808" width="30.140625" style="252" customWidth="1"/>
    <col min="14809" max="14811" width="0" style="252" hidden="1" customWidth="1"/>
    <col min="14812" max="14815" width="9.28515625" style="252" customWidth="1"/>
    <col min="14816" max="14816" width="9.28515625" style="252" bestFit="1" customWidth="1"/>
    <col min="14817" max="14822" width="9.28515625" style="252" customWidth="1"/>
    <col min="14823" max="14836" width="0" style="252" hidden="1" customWidth="1"/>
    <col min="14837" max="14837" width="9.28515625" style="252" customWidth="1"/>
    <col min="14838" max="14838" width="30" style="252" customWidth="1"/>
    <col min="14839" max="14841" width="0" style="252" hidden="1" customWidth="1"/>
    <col min="14842" max="14849" width="9.28515625" style="252" customWidth="1"/>
    <col min="14850" max="14850" width="10.140625" style="252" customWidth="1"/>
    <col min="14851" max="14852" width="9.28515625" style="252" customWidth="1"/>
    <col min="14853" max="14866" width="0" style="252" hidden="1" customWidth="1"/>
    <col min="14867" max="14868" width="9.140625" style="252"/>
    <col min="14869" max="14869" width="29" style="252" bestFit="1" customWidth="1"/>
    <col min="14870" max="14870" width="9.28515625" style="252" bestFit="1" customWidth="1"/>
    <col min="14871" max="15063" width="9.140625" style="252"/>
    <col min="15064" max="15064" width="30.140625" style="252" customWidth="1"/>
    <col min="15065" max="15067" width="0" style="252" hidden="1" customWidth="1"/>
    <col min="15068" max="15071" width="9.28515625" style="252" customWidth="1"/>
    <col min="15072" max="15072" width="9.28515625" style="252" bestFit="1" customWidth="1"/>
    <col min="15073" max="15078" width="9.28515625" style="252" customWidth="1"/>
    <col min="15079" max="15092" width="0" style="252" hidden="1" customWidth="1"/>
    <col min="15093" max="15093" width="9.28515625" style="252" customWidth="1"/>
    <col min="15094" max="15094" width="30" style="252" customWidth="1"/>
    <col min="15095" max="15097" width="0" style="252" hidden="1" customWidth="1"/>
    <col min="15098" max="15105" width="9.28515625" style="252" customWidth="1"/>
    <col min="15106" max="15106" width="10.140625" style="252" customWidth="1"/>
    <col min="15107" max="15108" width="9.28515625" style="252" customWidth="1"/>
    <col min="15109" max="15122" width="0" style="252" hidden="1" customWidth="1"/>
    <col min="15123" max="15124" width="9.140625" style="252"/>
    <col min="15125" max="15125" width="29" style="252" bestFit="1" customWidth="1"/>
    <col min="15126" max="15126" width="9.28515625" style="252" bestFit="1" customWidth="1"/>
    <col min="15127" max="15319" width="9.140625" style="252"/>
    <col min="15320" max="15320" width="30.140625" style="252" customWidth="1"/>
    <col min="15321" max="15323" width="0" style="252" hidden="1" customWidth="1"/>
    <col min="15324" max="15327" width="9.28515625" style="252" customWidth="1"/>
    <col min="15328" max="15328" width="9.28515625" style="252" bestFit="1" customWidth="1"/>
    <col min="15329" max="15334" width="9.28515625" style="252" customWidth="1"/>
    <col min="15335" max="15348" width="0" style="252" hidden="1" customWidth="1"/>
    <col min="15349" max="15349" width="9.28515625" style="252" customWidth="1"/>
    <col min="15350" max="15350" width="30" style="252" customWidth="1"/>
    <col min="15351" max="15353" width="0" style="252" hidden="1" customWidth="1"/>
    <col min="15354" max="15361" width="9.28515625" style="252" customWidth="1"/>
    <col min="15362" max="15362" width="10.140625" style="252" customWidth="1"/>
    <col min="15363" max="15364" width="9.28515625" style="252" customWidth="1"/>
    <col min="15365" max="15378" width="0" style="252" hidden="1" customWidth="1"/>
    <col min="15379" max="15380" width="9.140625" style="252"/>
    <col min="15381" max="15381" width="29" style="252" bestFit="1" customWidth="1"/>
    <col min="15382" max="15382" width="9.28515625" style="252" bestFit="1" customWidth="1"/>
    <col min="15383" max="15575" width="9.140625" style="252"/>
    <col min="15576" max="15576" width="30.140625" style="252" customWidth="1"/>
    <col min="15577" max="15579" width="0" style="252" hidden="1" customWidth="1"/>
    <col min="15580" max="15583" width="9.28515625" style="252" customWidth="1"/>
    <col min="15584" max="15584" width="9.28515625" style="252" bestFit="1" customWidth="1"/>
    <col min="15585" max="15590" width="9.28515625" style="252" customWidth="1"/>
    <col min="15591" max="15604" width="0" style="252" hidden="1" customWidth="1"/>
    <col min="15605" max="15605" width="9.28515625" style="252" customWidth="1"/>
    <col min="15606" max="15606" width="30" style="252" customWidth="1"/>
    <col min="15607" max="15609" width="0" style="252" hidden="1" customWidth="1"/>
    <col min="15610" max="15617" width="9.28515625" style="252" customWidth="1"/>
    <col min="15618" max="15618" width="10.140625" style="252" customWidth="1"/>
    <col min="15619" max="15620" width="9.28515625" style="252" customWidth="1"/>
    <col min="15621" max="15634" width="0" style="252" hidden="1" customWidth="1"/>
    <col min="15635" max="15636" width="9.140625" style="252"/>
    <col min="15637" max="15637" width="29" style="252" bestFit="1" customWidth="1"/>
    <col min="15638" max="15638" width="9.28515625" style="252" bestFit="1" customWidth="1"/>
    <col min="15639" max="15831" width="9.140625" style="252"/>
    <col min="15832" max="15832" width="30.140625" style="252" customWidth="1"/>
    <col min="15833" max="15835" width="0" style="252" hidden="1" customWidth="1"/>
    <col min="15836" max="15839" width="9.28515625" style="252" customWidth="1"/>
    <col min="15840" max="15840" width="9.28515625" style="252" bestFit="1" customWidth="1"/>
    <col min="15841" max="15846" width="9.28515625" style="252" customWidth="1"/>
    <col min="15847" max="15860" width="0" style="252" hidden="1" customWidth="1"/>
    <col min="15861" max="15861" width="9.28515625" style="252" customWidth="1"/>
    <col min="15862" max="15862" width="30" style="252" customWidth="1"/>
    <col min="15863" max="15865" width="0" style="252" hidden="1" customWidth="1"/>
    <col min="15866" max="15873" width="9.28515625" style="252" customWidth="1"/>
    <col min="15874" max="15874" width="10.140625" style="252" customWidth="1"/>
    <col min="15875" max="15876" width="9.28515625" style="252" customWidth="1"/>
    <col min="15877" max="15890" width="0" style="252" hidden="1" customWidth="1"/>
    <col min="15891" max="15892" width="9.140625" style="252"/>
    <col min="15893" max="15893" width="29" style="252" bestFit="1" customWidth="1"/>
    <col min="15894" max="15894" width="9.28515625" style="252" bestFit="1" customWidth="1"/>
    <col min="15895" max="16087" width="9.140625" style="252"/>
    <col min="16088" max="16088" width="30.140625" style="252" customWidth="1"/>
    <col min="16089" max="16091" width="0" style="252" hidden="1" customWidth="1"/>
    <col min="16092" max="16095" width="9.28515625" style="252" customWidth="1"/>
    <col min="16096" max="16096" width="9.28515625" style="252" bestFit="1" customWidth="1"/>
    <col min="16097" max="16102" width="9.28515625" style="252" customWidth="1"/>
    <col min="16103" max="16116" width="0" style="252" hidden="1" customWidth="1"/>
    <col min="16117" max="16117" width="9.28515625" style="252" customWidth="1"/>
    <col min="16118" max="16118" width="30" style="252" customWidth="1"/>
    <col min="16119" max="16121" width="0" style="252" hidden="1" customWidth="1"/>
    <col min="16122" max="16129" width="9.28515625" style="252" customWidth="1"/>
    <col min="16130" max="16130" width="10.140625" style="252" customWidth="1"/>
    <col min="16131" max="16132" width="9.28515625" style="252" customWidth="1"/>
    <col min="16133" max="16146" width="0" style="252" hidden="1" customWidth="1"/>
    <col min="16147" max="16148" width="9.140625" style="252"/>
    <col min="16149" max="16149" width="29" style="252" bestFit="1" customWidth="1"/>
    <col min="16150" max="16150" width="9.28515625" style="252" bestFit="1" customWidth="1"/>
    <col min="16151" max="16383" width="9.140625" style="252"/>
    <col min="16384" max="16384" width="9.140625" style="252" customWidth="1"/>
  </cols>
  <sheetData>
    <row r="1" spans="1:22" ht="12.6" customHeight="1">
      <c r="A1" s="591" t="s">
        <v>22</v>
      </c>
    </row>
    <row r="2" spans="1:22" ht="12.6" customHeight="1">
      <c r="A2" s="295" t="s">
        <v>151</v>
      </c>
    </row>
    <row r="3" spans="1:22" ht="12.6" customHeight="1" thickBot="1">
      <c r="A3" s="509"/>
      <c r="B3" s="509"/>
      <c r="C3" s="509"/>
      <c r="D3" s="509"/>
      <c r="E3" s="509"/>
      <c r="F3" s="509"/>
      <c r="G3" s="509"/>
      <c r="H3" s="509"/>
      <c r="I3" s="509"/>
      <c r="J3" s="255"/>
      <c r="K3" s="255"/>
      <c r="L3" s="255"/>
      <c r="M3" s="255"/>
      <c r="N3" s="255"/>
      <c r="O3" s="255"/>
      <c r="P3" s="255"/>
      <c r="Q3" s="255"/>
      <c r="R3" s="255"/>
      <c r="S3" s="255"/>
      <c r="T3" s="510"/>
    </row>
    <row r="4" spans="1:22" ht="12.6" customHeight="1" thickBot="1">
      <c r="A4" s="621" t="s">
        <v>24</v>
      </c>
      <c r="B4" s="511">
        <v>2018</v>
      </c>
      <c r="C4" s="511">
        <v>2019</v>
      </c>
      <c r="D4" s="511">
        <v>2020</v>
      </c>
      <c r="E4" s="511">
        <v>2021</v>
      </c>
      <c r="F4" s="511">
        <v>2022</v>
      </c>
      <c r="G4" s="511">
        <v>2023</v>
      </c>
      <c r="H4" s="511">
        <v>2024</v>
      </c>
      <c r="I4" s="511">
        <v>2025</v>
      </c>
      <c r="J4" s="511">
        <v>2026</v>
      </c>
      <c r="K4" s="512">
        <v>2027</v>
      </c>
      <c r="L4" s="512">
        <v>2028</v>
      </c>
      <c r="M4" s="512">
        <v>2029</v>
      </c>
      <c r="N4" s="512">
        <v>2030</v>
      </c>
      <c r="O4" s="512">
        <v>2031</v>
      </c>
      <c r="P4" s="512"/>
      <c r="Q4" s="513" t="s">
        <v>127</v>
      </c>
      <c r="R4" s="513" t="s">
        <v>128</v>
      </c>
      <c r="S4" s="513" t="s">
        <v>129</v>
      </c>
      <c r="T4" s="510"/>
    </row>
    <row r="5" spans="1:22" ht="12.6" customHeight="1" thickBot="1">
      <c r="A5" s="622"/>
      <c r="B5" s="514" t="s">
        <v>152</v>
      </c>
      <c r="C5" s="514" t="s">
        <v>152</v>
      </c>
      <c r="D5" s="514"/>
      <c r="E5" s="514"/>
      <c r="F5" s="514"/>
      <c r="G5" s="514"/>
      <c r="H5" s="514"/>
      <c r="I5" s="514"/>
      <c r="J5" s="514"/>
      <c r="K5" s="515"/>
      <c r="L5" s="515"/>
      <c r="M5" s="515"/>
      <c r="N5" s="515"/>
      <c r="O5" s="515"/>
      <c r="P5" s="515"/>
      <c r="Q5" s="620" t="s">
        <v>153</v>
      </c>
      <c r="R5" s="620"/>
      <c r="S5" s="620"/>
      <c r="T5" s="510"/>
    </row>
    <row r="6" spans="1:22" ht="12.6" customHeight="1">
      <c r="A6" s="516" t="s">
        <v>154</v>
      </c>
      <c r="B6" s="517">
        <f>B7+B8</f>
        <v>84780.536986301362</v>
      </c>
      <c r="C6" s="517">
        <f t="shared" ref="C6:D6" si="0">C7+C8</f>
        <v>85466.476712328775</v>
      </c>
      <c r="D6" s="517">
        <f t="shared" si="0"/>
        <v>80025.608219178088</v>
      </c>
      <c r="E6" s="517">
        <v>79085.530854487472</v>
      </c>
      <c r="F6" s="517">
        <v>62838.098224652713</v>
      </c>
      <c r="G6" s="517">
        <v>64997.684804503238</v>
      </c>
      <c r="H6" s="517">
        <v>65860.853090077231</v>
      </c>
      <c r="I6" s="517">
        <v>67831.769675518488</v>
      </c>
      <c r="J6" s="517">
        <v>72432.454768402415</v>
      </c>
      <c r="K6" s="517">
        <v>81222.605317727255</v>
      </c>
      <c r="L6" s="517">
        <v>91216.924265038047</v>
      </c>
      <c r="M6" s="517">
        <v>95074.180710154993</v>
      </c>
      <c r="N6" s="517">
        <v>98662.331679370531</v>
      </c>
      <c r="O6" s="517">
        <v>100329.15790945297</v>
      </c>
      <c r="P6" s="517"/>
      <c r="Q6" s="518">
        <v>-1.7421552186596689</v>
      </c>
      <c r="R6" s="518">
        <v>6.7330187038251221</v>
      </c>
      <c r="S6" s="518">
        <v>2.4077945512173571</v>
      </c>
      <c r="T6" s="510"/>
      <c r="U6" s="519"/>
      <c r="V6" s="520"/>
    </row>
    <row r="7" spans="1:22" ht="12.6" customHeight="1">
      <c r="A7" s="521" t="s">
        <v>155</v>
      </c>
      <c r="B7" s="522">
        <v>55750.536986301369</v>
      </c>
      <c r="C7" s="522">
        <v>58604.449315068494</v>
      </c>
      <c r="D7" s="522">
        <v>53693.663013698635</v>
      </c>
      <c r="E7" s="522">
        <v>51464.526166479474</v>
      </c>
      <c r="F7" s="522">
        <v>48493.621383938043</v>
      </c>
      <c r="G7" s="522">
        <v>47983.695128580723</v>
      </c>
      <c r="H7" s="522">
        <v>49679.78765339715</v>
      </c>
      <c r="I7" s="522">
        <v>49961.157865151901</v>
      </c>
      <c r="J7" s="522">
        <v>52652.078894033213</v>
      </c>
      <c r="K7" s="522">
        <v>61336.131395370394</v>
      </c>
      <c r="L7" s="522">
        <v>73174.727241959379</v>
      </c>
      <c r="M7" s="522">
        <v>80026.328475224873</v>
      </c>
      <c r="N7" s="522">
        <v>85644.866363616966</v>
      </c>
      <c r="O7" s="522">
        <v>85559.481519692446</v>
      </c>
      <c r="P7" s="522"/>
      <c r="Q7" s="523">
        <v>0.45730174634006637</v>
      </c>
      <c r="R7" s="523">
        <v>10.19719098777745</v>
      </c>
      <c r="S7" s="523">
        <v>5.2146019650230135</v>
      </c>
      <c r="T7" s="510"/>
      <c r="U7" s="519"/>
      <c r="V7" s="520"/>
    </row>
    <row r="8" spans="1:22" ht="12.6" customHeight="1">
      <c r="A8" s="524" t="s">
        <v>156</v>
      </c>
      <c r="B8" s="525">
        <v>29030</v>
      </c>
      <c r="C8" s="525">
        <v>26862.027397260281</v>
      </c>
      <c r="D8" s="525">
        <v>26331.945205479453</v>
      </c>
      <c r="E8" s="525">
        <v>27621.004688007997</v>
      </c>
      <c r="F8" s="525">
        <v>14344.476840714669</v>
      </c>
      <c r="G8" s="525">
        <v>17013.989675922516</v>
      </c>
      <c r="H8" s="525">
        <v>16181.065436680088</v>
      </c>
      <c r="I8" s="525">
        <v>17870.611810366587</v>
      </c>
      <c r="J8" s="525">
        <v>19780.375874369194</v>
      </c>
      <c r="K8" s="525">
        <v>19886.473922356861</v>
      </c>
      <c r="L8" s="525">
        <v>18042.197023078676</v>
      </c>
      <c r="M8" s="525">
        <v>15047.85223493012</v>
      </c>
      <c r="N8" s="525">
        <v>13017.465315753565</v>
      </c>
      <c r="O8" s="525">
        <v>14769.67638976052</v>
      </c>
      <c r="P8" s="525"/>
      <c r="Q8" s="526">
        <v>-6.4596450241102943</v>
      </c>
      <c r="R8" s="526">
        <v>-5.6748970298629464</v>
      </c>
      <c r="S8" s="526">
        <v>-6.0680905391359063</v>
      </c>
      <c r="T8" s="510"/>
      <c r="U8" s="519"/>
      <c r="V8" s="520"/>
    </row>
    <row r="9" spans="1:22" ht="12.6" customHeight="1">
      <c r="A9" s="516" t="s">
        <v>157</v>
      </c>
      <c r="B9" s="517">
        <f>B10+B11</f>
        <v>79408.067518111406</v>
      </c>
      <c r="C9" s="517">
        <f t="shared" ref="C9:D9" si="1">C10+C11</f>
        <v>77690.72227092486</v>
      </c>
      <c r="D9" s="517">
        <f t="shared" si="1"/>
        <v>69357.563130112045</v>
      </c>
      <c r="E9" s="517">
        <v>79085.530854487472</v>
      </c>
      <c r="F9" s="517">
        <v>62838.098224652727</v>
      </c>
      <c r="G9" s="517">
        <v>64997.684804503238</v>
      </c>
      <c r="H9" s="517">
        <v>65860.853090077231</v>
      </c>
      <c r="I9" s="517">
        <v>67831.769675518488</v>
      </c>
      <c r="J9" s="517">
        <v>72432.4547684024</v>
      </c>
      <c r="K9" s="517">
        <v>81222.605317727255</v>
      </c>
      <c r="L9" s="517">
        <v>91216.924265038047</v>
      </c>
      <c r="M9" s="517">
        <v>95074.180710154978</v>
      </c>
      <c r="N9" s="517">
        <v>98662.331679370531</v>
      </c>
      <c r="O9" s="517">
        <v>100329.15790945297</v>
      </c>
      <c r="P9" s="517"/>
      <c r="Q9" s="518">
        <v>-1.7421552186596689</v>
      </c>
      <c r="R9" s="518">
        <v>6.7330187038251221</v>
      </c>
      <c r="S9" s="518">
        <v>2.4077945512173571</v>
      </c>
      <c r="T9" s="510"/>
      <c r="U9" s="519"/>
      <c r="V9" s="520"/>
    </row>
    <row r="10" spans="1:22" ht="12.6" customHeight="1">
      <c r="A10" s="521" t="s">
        <v>158</v>
      </c>
      <c r="B10" s="522">
        <v>27834.884911291319</v>
      </c>
      <c r="C10" s="522">
        <v>29582.199577531654</v>
      </c>
      <c r="D10" s="522">
        <v>26568.470486766531</v>
      </c>
      <c r="E10" s="522">
        <v>30457.726550678082</v>
      </c>
      <c r="F10" s="522">
        <v>11520.051542061845</v>
      </c>
      <c r="G10" s="522">
        <v>10400.612678936512</v>
      </c>
      <c r="H10" s="522">
        <v>8716.4407309294165</v>
      </c>
      <c r="I10" s="522">
        <v>9772.8985517778401</v>
      </c>
      <c r="J10" s="522">
        <v>13297.516880472769</v>
      </c>
      <c r="K10" s="522">
        <v>19145.341356195386</v>
      </c>
      <c r="L10" s="522">
        <v>28174.312590294958</v>
      </c>
      <c r="M10" s="522">
        <v>31298.17279606967</v>
      </c>
      <c r="N10" s="522">
        <v>34239.041262422143</v>
      </c>
      <c r="O10" s="522">
        <v>34814.437075524984</v>
      </c>
      <c r="P10" s="522"/>
      <c r="Q10" s="523">
        <v>-15.274407734919414</v>
      </c>
      <c r="R10" s="523">
        <v>21.226555499967059</v>
      </c>
      <c r="S10" s="523">
        <v>1.3459013132271158</v>
      </c>
      <c r="T10" s="510"/>
      <c r="U10" s="519"/>
      <c r="V10" s="520"/>
    </row>
    <row r="11" spans="1:22" ht="12.6" customHeight="1">
      <c r="A11" s="516" t="s">
        <v>159</v>
      </c>
      <c r="B11" s="517">
        <f>B12+B13</f>
        <v>51573.182606820083</v>
      </c>
      <c r="C11" s="517">
        <f t="shared" ref="C11:D11" si="2">C12+C13</f>
        <v>48108.522693393206</v>
      </c>
      <c r="D11" s="517">
        <f t="shared" si="2"/>
        <v>42789.09264334551</v>
      </c>
      <c r="E11" s="517">
        <v>48627.804303809389</v>
      </c>
      <c r="F11" s="517">
        <v>51318.046682590881</v>
      </c>
      <c r="G11" s="517">
        <v>54597.072125566723</v>
      </c>
      <c r="H11" s="517">
        <v>57144.41235914782</v>
      </c>
      <c r="I11" s="517">
        <v>58058.871123740646</v>
      </c>
      <c r="J11" s="517">
        <v>59134.937887929635</v>
      </c>
      <c r="K11" s="517">
        <v>62077.263961531869</v>
      </c>
      <c r="L11" s="517">
        <v>63042.611674743093</v>
      </c>
      <c r="M11" s="517">
        <v>63776.007914085312</v>
      </c>
      <c r="N11" s="517">
        <v>64423.290416948388</v>
      </c>
      <c r="O11" s="517">
        <v>65514.720833927982</v>
      </c>
      <c r="P11" s="517"/>
      <c r="Q11" s="518">
        <v>3.9900763204776535</v>
      </c>
      <c r="R11" s="518">
        <v>2.0701962899927873</v>
      </c>
      <c r="S11" s="518">
        <v>3.0256642892560359</v>
      </c>
      <c r="T11" s="510"/>
      <c r="U11" s="519"/>
      <c r="V11" s="520"/>
    </row>
    <row r="12" spans="1:22" ht="12.6" customHeight="1">
      <c r="A12" s="521" t="s">
        <v>160</v>
      </c>
      <c r="B12" s="522">
        <v>1800.3287671232872</v>
      </c>
      <c r="C12" s="522">
        <v>963.97260273972574</v>
      </c>
      <c r="D12" s="522">
        <v>673.97260273972609</v>
      </c>
      <c r="E12" s="522">
        <v>5486.5284643097148</v>
      </c>
      <c r="F12" s="522">
        <v>5874.1669286194265</v>
      </c>
      <c r="G12" s="522">
        <v>6538.1669286194274</v>
      </c>
      <c r="H12" s="522">
        <v>7078.1669286194283</v>
      </c>
      <c r="I12" s="522">
        <v>7078.1669286194283</v>
      </c>
      <c r="J12" s="522">
        <v>7078.1669286194283</v>
      </c>
      <c r="K12" s="522">
        <v>9157.366928619429</v>
      </c>
      <c r="L12" s="522">
        <v>9157.366928619429</v>
      </c>
      <c r="M12" s="522">
        <v>9157.366928619429</v>
      </c>
      <c r="N12" s="522">
        <v>9157.366928619429</v>
      </c>
      <c r="O12" s="522">
        <v>9157.366928619429</v>
      </c>
      <c r="P12" s="522"/>
      <c r="Q12" s="523">
        <v>5.2263806653279898</v>
      </c>
      <c r="R12" s="523">
        <v>5.2858392100326057</v>
      </c>
      <c r="S12" s="523">
        <v>5.2561057392083388</v>
      </c>
      <c r="T12" s="510"/>
      <c r="U12" s="519"/>
      <c r="V12" s="520"/>
    </row>
    <row r="13" spans="1:22" ht="12.6" customHeight="1">
      <c r="A13" s="521" t="s">
        <v>161</v>
      </c>
      <c r="B13" s="522">
        <f>SUM(B14:B18)</f>
        <v>49772.853839696792</v>
      </c>
      <c r="C13" s="522">
        <f t="shared" ref="C13:D13" si="3">SUM(C14:C18)</f>
        <v>47144.55009065348</v>
      </c>
      <c r="D13" s="522">
        <f t="shared" si="3"/>
        <v>42115.120040605783</v>
      </c>
      <c r="E13" s="522">
        <v>43141.275839499678</v>
      </c>
      <c r="F13" s="522">
        <v>45443.879753971451</v>
      </c>
      <c r="G13" s="522">
        <v>48058.905196947293</v>
      </c>
      <c r="H13" s="522">
        <v>50066.24543052839</v>
      </c>
      <c r="I13" s="522">
        <v>50980.704195121216</v>
      </c>
      <c r="J13" s="522">
        <v>52056.770959310204</v>
      </c>
      <c r="K13" s="522">
        <v>52919.897032912442</v>
      </c>
      <c r="L13" s="522">
        <v>53885.244746123666</v>
      </c>
      <c r="M13" s="522">
        <v>54618.640985465885</v>
      </c>
      <c r="N13" s="522">
        <v>55265.923488328961</v>
      </c>
      <c r="O13" s="522">
        <v>56357.353905308555</v>
      </c>
      <c r="P13" s="522"/>
      <c r="Q13" s="523">
        <v>3.8285641597431308</v>
      </c>
      <c r="R13" s="523">
        <v>1.6002259180592837</v>
      </c>
      <c r="S13" s="523">
        <v>2.7083520234728375</v>
      </c>
      <c r="T13" s="510"/>
      <c r="U13" s="519"/>
      <c r="V13" s="520"/>
    </row>
    <row r="14" spans="1:22" ht="12.6" customHeight="1">
      <c r="A14" s="521" t="s">
        <v>162</v>
      </c>
      <c r="B14" s="522">
        <v>13253.990127658788</v>
      </c>
      <c r="C14" s="522">
        <v>13297.612249134821</v>
      </c>
      <c r="D14" s="522">
        <v>12798.183377881629</v>
      </c>
      <c r="E14" s="522">
        <v>10851.010404438099</v>
      </c>
      <c r="F14" s="522">
        <v>10506.415982715733</v>
      </c>
      <c r="G14" s="522">
        <v>11502.763929516337</v>
      </c>
      <c r="H14" s="522">
        <v>11503.63007432314</v>
      </c>
      <c r="I14" s="522">
        <v>11504.659457768117</v>
      </c>
      <c r="J14" s="522">
        <v>11505.145671109618</v>
      </c>
      <c r="K14" s="522">
        <v>11505.715795459237</v>
      </c>
      <c r="L14" s="522">
        <v>11506.445975960729</v>
      </c>
      <c r="M14" s="522">
        <v>11506.957768233029</v>
      </c>
      <c r="N14" s="522">
        <v>11507.206878123145</v>
      </c>
      <c r="O14" s="522">
        <v>11507.268668224537</v>
      </c>
      <c r="P14" s="522"/>
      <c r="Q14" s="523">
        <v>1.1776034807849056</v>
      </c>
      <c r="R14" s="523">
        <v>3.6902452064335733E-3</v>
      </c>
      <c r="S14" s="523">
        <v>0.58893437274665228</v>
      </c>
      <c r="T14" s="510"/>
      <c r="U14" s="519"/>
      <c r="V14" s="520"/>
    </row>
    <row r="15" spans="1:22" ht="12.6" customHeight="1">
      <c r="A15" s="521" t="s">
        <v>163</v>
      </c>
      <c r="B15" s="522">
        <v>1259.8806216449482</v>
      </c>
      <c r="C15" s="522">
        <v>1270.1095890410961</v>
      </c>
      <c r="D15" s="522">
        <v>1383.7808219178082</v>
      </c>
      <c r="E15" s="522">
        <v>1368.6005696739608</v>
      </c>
      <c r="F15" s="522">
        <v>1443.0833168465035</v>
      </c>
      <c r="G15" s="522">
        <v>1535.4848316493565</v>
      </c>
      <c r="H15" s="522">
        <v>1626.7679582887502</v>
      </c>
      <c r="I15" s="522">
        <v>1708.3463586769706</v>
      </c>
      <c r="J15" s="522">
        <v>1795.7905471422719</v>
      </c>
      <c r="K15" s="522">
        <v>1868.5351537258621</v>
      </c>
      <c r="L15" s="522">
        <v>1940.6684129876387</v>
      </c>
      <c r="M15" s="522">
        <v>2021.5774070244802</v>
      </c>
      <c r="N15" s="522">
        <v>2102.0320007643763</v>
      </c>
      <c r="O15" s="522">
        <v>2191.6734855094319</v>
      </c>
      <c r="P15" s="522"/>
      <c r="Q15" s="523">
        <v>5.5834364400180636</v>
      </c>
      <c r="R15" s="523">
        <v>4.0648432744523566</v>
      </c>
      <c r="S15" s="523">
        <v>4.821389828167133</v>
      </c>
      <c r="T15" s="510"/>
      <c r="U15" s="519"/>
      <c r="V15" s="520"/>
    </row>
    <row r="16" spans="1:22" ht="12.6" customHeight="1">
      <c r="A16" s="521" t="s">
        <v>164</v>
      </c>
      <c r="B16" s="522">
        <v>6059.5215451826543</v>
      </c>
      <c r="C16" s="522">
        <v>6259.1506849315074</v>
      </c>
      <c r="D16" s="522">
        <v>5164.1095890410961</v>
      </c>
      <c r="E16" s="522">
        <v>5438.0512087249081</v>
      </c>
      <c r="F16" s="522">
        <v>5779.3201911844881</v>
      </c>
      <c r="G16" s="522">
        <v>6123.4649221126801</v>
      </c>
      <c r="H16" s="522">
        <v>6353.8275697109275</v>
      </c>
      <c r="I16" s="522">
        <v>6539.9179825717874</v>
      </c>
      <c r="J16" s="522">
        <v>6683.7051909586808</v>
      </c>
      <c r="K16" s="522">
        <v>6817.3968499678595</v>
      </c>
      <c r="L16" s="522">
        <v>6957.2780687229661</v>
      </c>
      <c r="M16" s="522">
        <v>7036.0890748613674</v>
      </c>
      <c r="N16" s="522">
        <v>7123.5918767581143</v>
      </c>
      <c r="O16" s="522">
        <v>7235.0823821350905</v>
      </c>
      <c r="P16" s="522"/>
      <c r="Q16" s="523">
        <v>4.2112963805427173</v>
      </c>
      <c r="R16" s="523">
        <v>1.5980187739470741</v>
      </c>
      <c r="S16" s="523">
        <v>2.8963616758519883</v>
      </c>
      <c r="T16" s="510"/>
      <c r="U16" s="519"/>
      <c r="V16" s="520"/>
    </row>
    <row r="17" spans="1:22" ht="12.6" customHeight="1">
      <c r="A17" s="521" t="s">
        <v>165</v>
      </c>
      <c r="B17" s="522">
        <v>28724.950150037577</v>
      </c>
      <c r="C17" s="522">
        <v>25859.916403951862</v>
      </c>
      <c r="D17" s="522">
        <v>22423.209029139947</v>
      </c>
      <c r="E17" s="522">
        <v>25126.097996877135</v>
      </c>
      <c r="F17" s="522">
        <v>27351.878203615266</v>
      </c>
      <c r="G17" s="522">
        <v>28518.567659360153</v>
      </c>
      <c r="H17" s="522">
        <v>30195.801757509682</v>
      </c>
      <c r="I17" s="522">
        <v>30833.57864844293</v>
      </c>
      <c r="J17" s="522">
        <v>31669.803726027465</v>
      </c>
      <c r="K17" s="522">
        <v>32317.659541736015</v>
      </c>
      <c r="L17" s="522">
        <v>33061.859383526884</v>
      </c>
      <c r="M17" s="522">
        <v>33626.48148352321</v>
      </c>
      <c r="N17" s="522">
        <v>34096.87604140801</v>
      </c>
      <c r="O17" s="522">
        <v>34978.292288037199</v>
      </c>
      <c r="P17" s="522"/>
      <c r="Q17" s="523">
        <v>4.7379488327607966</v>
      </c>
      <c r="R17" s="523">
        <v>2.0071575746420711</v>
      </c>
      <c r="S17" s="523">
        <v>3.3635354011666285</v>
      </c>
      <c r="T17" s="510"/>
      <c r="U17" s="519"/>
      <c r="V17" s="520"/>
    </row>
    <row r="18" spans="1:22" ht="12.6" customHeight="1" thickBot="1">
      <c r="A18" s="527" t="s">
        <v>166</v>
      </c>
      <c r="B18" s="528">
        <v>474.5113951728307</v>
      </c>
      <c r="C18" s="528">
        <v>457.76116359419109</v>
      </c>
      <c r="D18" s="528">
        <v>345.83722262530313</v>
      </c>
      <c r="E18" s="528">
        <v>357.5156597855775</v>
      </c>
      <c r="F18" s="528">
        <v>363.18205960945141</v>
      </c>
      <c r="G18" s="528">
        <v>378.62385430876628</v>
      </c>
      <c r="H18" s="528">
        <v>386.21807069589136</v>
      </c>
      <c r="I18" s="528">
        <v>394.20174766141224</v>
      </c>
      <c r="J18" s="528">
        <v>402.32582407217018</v>
      </c>
      <c r="K18" s="528">
        <v>410.58969202346731</v>
      </c>
      <c r="L18" s="528">
        <v>418.99290492544964</v>
      </c>
      <c r="M18" s="528">
        <v>427.5352518238019</v>
      </c>
      <c r="N18" s="528">
        <v>436.21669127531737</v>
      </c>
      <c r="O18" s="528">
        <v>445.03708140229401</v>
      </c>
      <c r="P18" s="528"/>
      <c r="Q18" s="529">
        <v>2.3897701390777071</v>
      </c>
      <c r="R18" s="529">
        <v>2.0384041738907177</v>
      </c>
      <c r="S18" s="529">
        <v>2.2139361766436272</v>
      </c>
      <c r="T18" s="510"/>
      <c r="U18" s="519"/>
      <c r="V18" s="520"/>
    </row>
    <row r="19" spans="1:22" ht="12.6" customHeight="1">
      <c r="A19" s="254" t="s">
        <v>147</v>
      </c>
      <c r="B19" s="253"/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253"/>
      <c r="R19" s="253"/>
      <c r="S19" s="253"/>
      <c r="T19" s="510"/>
    </row>
    <row r="20" spans="1:22" ht="12.6" customHeight="1">
      <c r="A20" s="255" t="s">
        <v>167</v>
      </c>
      <c r="B20" s="253"/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510"/>
    </row>
    <row r="21" spans="1:22" ht="12.6" customHeight="1">
      <c r="A21" s="255" t="s">
        <v>168</v>
      </c>
      <c r="B21" s="530"/>
      <c r="C21" s="530"/>
      <c r="D21" s="530"/>
      <c r="E21" s="530"/>
      <c r="F21" s="530"/>
      <c r="G21" s="530"/>
      <c r="H21" s="530"/>
      <c r="I21" s="530"/>
      <c r="J21" s="530"/>
      <c r="K21" s="530"/>
      <c r="L21" s="530"/>
      <c r="M21" s="530"/>
      <c r="N21" s="530"/>
      <c r="O21" s="530"/>
      <c r="P21" s="530"/>
      <c r="Q21" s="253"/>
      <c r="R21" s="253"/>
      <c r="S21" s="253"/>
      <c r="T21" s="510"/>
    </row>
    <row r="22" spans="1:22" ht="12.6" customHeight="1">
      <c r="A22" s="255" t="s">
        <v>169</v>
      </c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5"/>
      <c r="P22" s="255"/>
      <c r="Q22" s="255"/>
      <c r="R22" s="255"/>
      <c r="S22" s="255"/>
      <c r="T22" s="510"/>
    </row>
  </sheetData>
  <mergeCells count="2">
    <mergeCell ref="Q5:S5"/>
    <mergeCell ref="A4:A5"/>
  </mergeCells>
  <hyperlinks>
    <hyperlink ref="A1" location="'Sumário Cap.XI'!A1" display="Voltar para Sumário" xr:uid="{26C42086-18DB-4C05-854D-90658A7F5C62}"/>
  </hyperlinks>
  <pageMargins left="0.78740157499999996" right="0.78740157499999996" top="0.984251969" bottom="0.984251969" header="0.49212598499999999" footer="0.49212598499999999"/>
  <pageSetup paperSize="9" orientation="portrait" horizontalDpi="200" verticalDpi="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</sheetPr>
  <dimension ref="A1:Z93"/>
  <sheetViews>
    <sheetView topLeftCell="A69" zoomScaleNormal="100" workbookViewId="0">
      <selection activeCell="F31" sqref="F31"/>
    </sheetView>
  </sheetViews>
  <sheetFormatPr defaultRowHeight="13.15"/>
  <cols>
    <col min="1" max="1" width="30.42578125" customWidth="1"/>
    <col min="2" max="2" width="16.85546875" customWidth="1"/>
    <col min="3" max="5" width="6.85546875" hidden="1" customWidth="1"/>
    <col min="6" max="6" width="6.85546875" customWidth="1"/>
    <col min="7" max="10" width="6.85546875" hidden="1" customWidth="1"/>
    <col min="11" max="11" width="6.85546875" customWidth="1"/>
    <col min="12" max="15" width="6.85546875" hidden="1" customWidth="1"/>
    <col min="16" max="16" width="6.85546875" customWidth="1"/>
    <col min="17" max="17" width="8.5703125" customWidth="1"/>
    <col min="18" max="18" width="5.7109375" customWidth="1"/>
    <col min="19" max="19" width="8.5703125" customWidth="1"/>
    <col min="20" max="20" width="5.7109375" customWidth="1"/>
    <col min="21" max="21" width="8.5703125" customWidth="1"/>
    <col min="22" max="22" width="5.7109375" customWidth="1"/>
  </cols>
  <sheetData>
    <row r="1" spans="1:26">
      <c r="A1" s="633"/>
      <c r="B1" s="633"/>
      <c r="C1" s="631" t="s">
        <v>170</v>
      </c>
      <c r="D1" s="631" t="s">
        <v>171</v>
      </c>
      <c r="E1" s="631" t="s">
        <v>172</v>
      </c>
      <c r="F1" s="631">
        <v>2016</v>
      </c>
      <c r="G1" s="631">
        <v>2017</v>
      </c>
      <c r="H1" s="631">
        <v>2018</v>
      </c>
      <c r="I1" s="631">
        <v>2019</v>
      </c>
      <c r="J1" s="631">
        <v>2020</v>
      </c>
      <c r="K1" s="631">
        <v>2021</v>
      </c>
      <c r="L1" s="631">
        <v>2022</v>
      </c>
      <c r="M1" s="631">
        <v>2023</v>
      </c>
      <c r="N1" s="631">
        <v>2024</v>
      </c>
      <c r="O1" s="631">
        <v>2025</v>
      </c>
      <c r="P1" s="631">
        <v>2026</v>
      </c>
      <c r="Q1" s="630" t="s">
        <v>173</v>
      </c>
      <c r="R1" s="630"/>
      <c r="S1" s="630" t="s">
        <v>127</v>
      </c>
      <c r="T1" s="630"/>
      <c r="U1" s="630" t="s">
        <v>174</v>
      </c>
      <c r="V1" s="630"/>
    </row>
    <row r="2" spans="1:26" ht="13.9" thickBot="1">
      <c r="A2" s="634"/>
      <c r="B2" s="634"/>
      <c r="C2" s="632"/>
      <c r="D2" s="632"/>
      <c r="E2" s="632">
        <v>2015</v>
      </c>
      <c r="F2" s="632"/>
      <c r="G2" s="632">
        <v>2017</v>
      </c>
      <c r="H2" s="632"/>
      <c r="I2" s="632"/>
      <c r="J2" s="632">
        <v>2020</v>
      </c>
      <c r="K2" s="632"/>
      <c r="L2" s="632"/>
      <c r="M2" s="632">
        <v>2023</v>
      </c>
      <c r="N2" s="632"/>
      <c r="O2" s="632"/>
      <c r="P2" s="632"/>
      <c r="Q2" s="41" t="s">
        <v>175</v>
      </c>
      <c r="R2" s="25" t="s">
        <v>56</v>
      </c>
      <c r="S2" s="41" t="s">
        <v>175</v>
      </c>
      <c r="T2" s="25" t="s">
        <v>56</v>
      </c>
      <c r="U2" s="41" t="s">
        <v>175</v>
      </c>
      <c r="V2" s="25" t="s">
        <v>56</v>
      </c>
      <c r="W2" s="21"/>
    </row>
    <row r="3" spans="1:26" ht="14.45" thickBot="1">
      <c r="A3" s="683" t="s">
        <v>176</v>
      </c>
      <c r="B3" s="683"/>
      <c r="C3" s="26"/>
      <c r="D3" s="26"/>
      <c r="E3" s="26"/>
      <c r="F3" s="26"/>
      <c r="G3" s="26"/>
      <c r="H3" s="26"/>
      <c r="I3" s="26"/>
      <c r="J3" s="27"/>
      <c r="K3" s="27"/>
      <c r="L3" s="27"/>
      <c r="M3" s="27"/>
      <c r="N3" s="27"/>
      <c r="O3" s="50"/>
      <c r="P3" s="27"/>
      <c r="Q3" s="27"/>
      <c r="R3" s="27"/>
      <c r="S3" s="27"/>
      <c r="T3" s="27"/>
      <c r="U3" s="26"/>
      <c r="V3" s="26"/>
      <c r="W3" s="21"/>
    </row>
    <row r="4" spans="1:26" ht="13.9" thickBot="1">
      <c r="A4" s="684" t="s">
        <v>177</v>
      </c>
      <c r="B4" s="684"/>
      <c r="C4" s="28">
        <v>3674.9639999999999</v>
      </c>
      <c r="D4" s="28" t="e">
        <v>#REF!</v>
      </c>
      <c r="E4" s="28">
        <v>4081.3873481789801</v>
      </c>
      <c r="F4" s="28">
        <v>3938.5387909927153</v>
      </c>
      <c r="G4" s="28">
        <v>3958.2314849476788</v>
      </c>
      <c r="H4" s="28">
        <v>4029.479651676736</v>
      </c>
      <c r="I4" s="28">
        <v>4114.0987243619475</v>
      </c>
      <c r="J4" s="28">
        <v>4225.179389919721</v>
      </c>
      <c r="K4" s="28">
        <v>4343.4844128374716</v>
      </c>
      <c r="L4" s="28">
        <v>4466.1263663605168</v>
      </c>
      <c r="M4" s="28">
        <v>4594.589933712431</v>
      </c>
      <c r="N4" s="28">
        <v>4732.4276317238046</v>
      </c>
      <c r="O4" s="51">
        <v>4873.5396108284276</v>
      </c>
      <c r="P4" s="28">
        <v>5018.8592804032305</v>
      </c>
      <c r="Q4" s="28">
        <f>K4-F4</f>
        <v>404.94562184475626</v>
      </c>
      <c r="R4" s="68">
        <f>Q4/F4</f>
        <v>0.10281620756683954</v>
      </c>
      <c r="S4" s="28">
        <f>P4-K4</f>
        <v>675.3748675657589</v>
      </c>
      <c r="T4" s="68">
        <f>S4/K4</f>
        <v>0.15549149101805024</v>
      </c>
      <c r="U4" s="28">
        <f>P4-F4</f>
        <v>1080.3204894105152</v>
      </c>
      <c r="V4" s="68">
        <f>U4/F4</f>
        <v>0.27429474400027898</v>
      </c>
      <c r="W4" s="21"/>
    </row>
    <row r="5" spans="1:26" ht="13.9" thickBot="1">
      <c r="A5" s="684" t="s">
        <v>178</v>
      </c>
      <c r="B5" s="684"/>
      <c r="C5" s="31">
        <v>0.1964474075</v>
      </c>
      <c r="D5" s="31" t="e">
        <v>#REF!</v>
      </c>
      <c r="E5" s="31">
        <v>0.2052660405</v>
      </c>
      <c r="F5" s="31">
        <v>0.20687118049999997</v>
      </c>
      <c r="G5" s="31">
        <v>0.2084238655</v>
      </c>
      <c r="H5" s="31">
        <v>0.20992290750000001</v>
      </c>
      <c r="I5" s="31">
        <v>0.21136819399999998</v>
      </c>
      <c r="J5" s="31">
        <v>0.21275891650000001</v>
      </c>
      <c r="K5" s="31">
        <v>0.2140939835</v>
      </c>
      <c r="L5" s="31">
        <v>0.21537311650000002</v>
      </c>
      <c r="M5" s="31">
        <v>0.21659590849999999</v>
      </c>
      <c r="N5" s="31">
        <v>0.21776155350000001</v>
      </c>
      <c r="O5" s="52">
        <v>0.218869283</v>
      </c>
      <c r="P5" s="31">
        <v>0.21991829100000002</v>
      </c>
      <c r="Q5" s="31">
        <f t="shared" ref="Q5:Q10" si="0">K5-F5</f>
        <v>7.2228030000000276E-3</v>
      </c>
      <c r="R5" s="68">
        <f t="shared" ref="R5:R10" si="1">Q5/F5</f>
        <v>3.4914495980265497E-2</v>
      </c>
      <c r="S5" s="31">
        <f t="shared" ref="S5:S10" si="2">P5-K5</f>
        <v>5.8243075000000144E-3</v>
      </c>
      <c r="T5" s="68">
        <f t="shared" ref="T5:T10" si="3">S5/K5</f>
        <v>2.7204442669450421E-2</v>
      </c>
      <c r="U5" s="31">
        <f t="shared" ref="U5:U10" si="4">P5-F5</f>
        <v>1.3047110500000042E-2</v>
      </c>
      <c r="V5" s="68">
        <f t="shared" ref="V5:V10" si="5">U5/F5</f>
        <v>6.3068768053943805E-2</v>
      </c>
      <c r="W5" s="21"/>
    </row>
    <row r="6" spans="1:26" ht="13.9" thickBot="1">
      <c r="A6" s="684" t="s">
        <v>179</v>
      </c>
      <c r="B6" s="684"/>
      <c r="C6" s="31">
        <v>18707.113760205768</v>
      </c>
      <c r="D6" s="31" t="e">
        <f>D4/D5</f>
        <v>#REF!</v>
      </c>
      <c r="E6" s="31">
        <f t="shared" ref="E6:P6" si="6">E4/E5</f>
        <v>19883.402720865462</v>
      </c>
      <c r="F6" s="31">
        <f t="shared" si="6"/>
        <v>19038.605481311672</v>
      </c>
      <c r="G6" s="31">
        <f t="shared" si="6"/>
        <v>18991.258392852706</v>
      </c>
      <c r="H6" s="31">
        <f t="shared" si="6"/>
        <v>19195.044979437207</v>
      </c>
      <c r="I6" s="31">
        <f t="shared" si="6"/>
        <v>19464.133399190363</v>
      </c>
      <c r="J6" s="31">
        <f t="shared" si="6"/>
        <v>19859.000315597681</v>
      </c>
      <c r="K6" s="31">
        <f t="shared" si="6"/>
        <v>20287.746259051095</v>
      </c>
      <c r="L6" s="31">
        <f t="shared" si="6"/>
        <v>20736.693784901963</v>
      </c>
      <c r="M6" s="31">
        <f t="shared" si="6"/>
        <v>21212.727264940146</v>
      </c>
      <c r="N6" s="31">
        <f t="shared" si="6"/>
        <v>21732.154072476362</v>
      </c>
      <c r="O6" s="52">
        <f t="shared" si="6"/>
        <v>22266.896222383239</v>
      </c>
      <c r="P6" s="31">
        <f t="shared" si="6"/>
        <v>22821.472727810666</v>
      </c>
      <c r="Q6" s="31">
        <f t="shared" si="0"/>
        <v>1249.1407777394234</v>
      </c>
      <c r="R6" s="68">
        <f t="shared" si="1"/>
        <v>6.5610938730023174E-2</v>
      </c>
      <c r="S6" s="31">
        <f t="shared" si="2"/>
        <v>2533.7264687595707</v>
      </c>
      <c r="T6" s="68">
        <f t="shared" si="3"/>
        <v>0.1248894991295144</v>
      </c>
      <c r="U6" s="31">
        <f t="shared" si="4"/>
        <v>3782.8672464989941</v>
      </c>
      <c r="V6" s="68">
        <f t="shared" si="5"/>
        <v>0.19869455513494741</v>
      </c>
      <c r="W6" s="21"/>
    </row>
    <row r="7" spans="1:26" ht="13.9" thickBot="1">
      <c r="A7" s="684" t="s">
        <v>180</v>
      </c>
      <c r="B7" s="684"/>
      <c r="C7" s="42">
        <v>1368.0709937594877</v>
      </c>
      <c r="D7" s="42" t="e">
        <f>D27/D5</f>
        <v>#REF!</v>
      </c>
      <c r="E7" s="42">
        <f t="shared" ref="E7:P7" si="7">E27/E5</f>
        <v>1457.6761145313669</v>
      </c>
      <c r="F7" s="42">
        <f t="shared" si="7"/>
        <v>1390.9883386655895</v>
      </c>
      <c r="G7" s="42">
        <f t="shared" si="7"/>
        <v>1398.945352295799</v>
      </c>
      <c r="H7" s="42">
        <f t="shared" si="7"/>
        <v>1456.2902343789824</v>
      </c>
      <c r="I7" s="42">
        <f t="shared" si="7"/>
        <v>1457.7107139049849</v>
      </c>
      <c r="J7" s="42">
        <f t="shared" si="7"/>
        <v>1421.0666582428271</v>
      </c>
      <c r="K7" s="42">
        <f t="shared" si="7"/>
        <v>1447.445180561439</v>
      </c>
      <c r="L7" s="42">
        <f t="shared" si="7"/>
        <v>1674.4225810449454</v>
      </c>
      <c r="M7" s="42">
        <f t="shared" si="7"/>
        <v>1726.6391724341063</v>
      </c>
      <c r="N7" s="42">
        <f t="shared" si="7"/>
        <v>1696.4025065858716</v>
      </c>
      <c r="O7" s="53">
        <f t="shared" si="7"/>
        <v>1560.5318020269522</v>
      </c>
      <c r="P7" s="42">
        <f t="shared" si="7"/>
        <v>1597.1104079240026</v>
      </c>
      <c r="Q7" s="42">
        <f t="shared" si="0"/>
        <v>56.456841895849493</v>
      </c>
      <c r="R7" s="68">
        <f t="shared" si="1"/>
        <v>4.0587573832581499E-2</v>
      </c>
      <c r="S7" s="42">
        <f t="shared" si="2"/>
        <v>149.66522736256366</v>
      </c>
      <c r="T7" s="68">
        <f t="shared" si="3"/>
        <v>0.10339958250060365</v>
      </c>
      <c r="U7" s="42">
        <f t="shared" si="4"/>
        <v>206.12206925841315</v>
      </c>
      <c r="V7" s="68">
        <f t="shared" si="5"/>
        <v>0.1481838945221865</v>
      </c>
      <c r="W7" s="21"/>
    </row>
    <row r="8" spans="1:26" ht="13.9" thickBot="1">
      <c r="A8" s="684" t="s">
        <v>181</v>
      </c>
      <c r="B8" s="684"/>
      <c r="C8" s="31">
        <v>73.131056521914232</v>
      </c>
      <c r="D8" s="31" t="e">
        <f>D27/D4*1000</f>
        <v>#REF!</v>
      </c>
      <c r="E8" s="31">
        <f t="shared" ref="E8:P8" si="8">E27/E4*1000</f>
        <v>73.311200049360508</v>
      </c>
      <c r="F8" s="31">
        <f t="shared" si="8"/>
        <v>73.061461357082379</v>
      </c>
      <c r="G8" s="31">
        <f t="shared" si="8"/>
        <v>73.662593776423321</v>
      </c>
      <c r="H8" s="31">
        <f t="shared" si="8"/>
        <v>75.868029272087711</v>
      </c>
      <c r="I8" s="31">
        <f t="shared" si="8"/>
        <v>74.892145671670164</v>
      </c>
      <c r="J8" s="31">
        <f t="shared" si="8"/>
        <v>71.55781437430619</v>
      </c>
      <c r="K8" s="31">
        <f t="shared" si="8"/>
        <v>71.345784892971125</v>
      </c>
      <c r="L8" s="31">
        <f t="shared" si="8"/>
        <v>80.746844140798572</v>
      </c>
      <c r="M8" s="31">
        <f t="shared" si="8"/>
        <v>81.396378262395856</v>
      </c>
      <c r="N8" s="31">
        <f t="shared" si="8"/>
        <v>78.059565606262424</v>
      </c>
      <c r="O8" s="52">
        <f t="shared" si="8"/>
        <v>70.083041050789419</v>
      </c>
      <c r="P8" s="31">
        <f t="shared" si="8"/>
        <v>69.982793265472935</v>
      </c>
      <c r="Q8" s="31">
        <f t="shared" si="0"/>
        <v>-1.7156764641112545</v>
      </c>
      <c r="R8" s="68">
        <f t="shared" si="1"/>
        <v>-2.3482646421839486E-2</v>
      </c>
      <c r="S8" s="31">
        <f t="shared" si="2"/>
        <v>-1.3629916274981895</v>
      </c>
      <c r="T8" s="68">
        <f t="shared" si="3"/>
        <v>-1.9104024569116057E-2</v>
      </c>
      <c r="U8" s="31">
        <f t="shared" si="4"/>
        <v>-3.078668091609444</v>
      </c>
      <c r="V8" s="68">
        <f t="shared" si="5"/>
        <v>-4.2138057936764853E-2</v>
      </c>
      <c r="W8" s="21"/>
    </row>
    <row r="9" spans="1:26" ht="13.9" thickBot="1">
      <c r="A9" s="684" t="s">
        <v>182</v>
      </c>
      <c r="B9" s="684"/>
      <c r="C9" s="31">
        <v>148.33874151793623</v>
      </c>
      <c r="D9" s="31" t="e">
        <f>D44/D4*1000</f>
        <v>#REF!</v>
      </c>
      <c r="E9" s="31">
        <f t="shared" ref="E9:N9" si="9">E44/E4*1000</f>
        <v>150.84626014075442</v>
      </c>
      <c r="F9" s="31">
        <f t="shared" si="9"/>
        <v>163.94000612327778</v>
      </c>
      <c r="G9" s="31">
        <f t="shared" si="9"/>
        <v>163.92237416182346</v>
      </c>
      <c r="H9" s="31">
        <f t="shared" si="9"/>
        <v>170.33047578707806</v>
      </c>
      <c r="I9" s="31">
        <f t="shared" si="9"/>
        <v>175.88300141995006</v>
      </c>
      <c r="J9" s="31">
        <f t="shared" si="9"/>
        <v>169.11717607980032</v>
      </c>
      <c r="K9" s="31">
        <f t="shared" si="9"/>
        <v>171.86530085849716</v>
      </c>
      <c r="L9" s="31">
        <f t="shared" si="9"/>
        <v>185.78608421319808</v>
      </c>
      <c r="M9" s="31">
        <f t="shared" si="9"/>
        <v>189.09659253766961</v>
      </c>
      <c r="N9" s="31">
        <f t="shared" si="9"/>
        <v>193.69436860649145</v>
      </c>
      <c r="O9" s="52">
        <f>O44/O4*1000</f>
        <v>177.91243513717987</v>
      </c>
      <c r="P9" s="31">
        <f>P44/P4*1000</f>
        <v>177.54599785056251</v>
      </c>
      <c r="Q9" s="31">
        <f t="shared" si="0"/>
        <v>7.9252947352193814</v>
      </c>
      <c r="R9" s="68">
        <f t="shared" si="1"/>
        <v>4.8342652428961158E-2</v>
      </c>
      <c r="S9" s="31">
        <f t="shared" si="2"/>
        <v>5.6806969920653501</v>
      </c>
      <c r="T9" s="68">
        <f t="shared" si="3"/>
        <v>3.3053193190767868E-2</v>
      </c>
      <c r="U9" s="31">
        <f t="shared" si="4"/>
        <v>13.605991727284731</v>
      </c>
      <c r="V9" s="68">
        <f t="shared" si="5"/>
        <v>8.2993724649817621E-2</v>
      </c>
      <c r="W9" s="21"/>
    </row>
    <row r="10" spans="1:26" ht="13.9" thickBot="1">
      <c r="A10" s="684" t="s">
        <v>183</v>
      </c>
      <c r="B10" s="684"/>
      <c r="C10" s="30">
        <f>C27/C4*1000</f>
        <v>73.131056521914232</v>
      </c>
      <c r="D10" s="43" t="e">
        <f>D27/D4</f>
        <v>#REF!</v>
      </c>
      <c r="E10" s="43">
        <f t="shared" ref="E10:N10" si="10">E27/E4</f>
        <v>7.3311200049360509E-2</v>
      </c>
      <c r="F10" s="43">
        <f t="shared" si="10"/>
        <v>7.3061461357082386E-2</v>
      </c>
      <c r="G10" s="43">
        <f t="shared" si="10"/>
        <v>7.3662593776423327E-2</v>
      </c>
      <c r="H10" s="43">
        <f t="shared" si="10"/>
        <v>7.5868029272087717E-2</v>
      </c>
      <c r="I10" s="43">
        <f t="shared" si="10"/>
        <v>7.4892145671670157E-2</v>
      </c>
      <c r="J10" s="43">
        <f t="shared" si="10"/>
        <v>7.1557814374306195E-2</v>
      </c>
      <c r="K10" s="43">
        <f t="shared" si="10"/>
        <v>7.1345784892971123E-2</v>
      </c>
      <c r="L10" s="43">
        <f t="shared" si="10"/>
        <v>8.0746844140798579E-2</v>
      </c>
      <c r="M10" s="43">
        <f t="shared" si="10"/>
        <v>8.139637826239586E-2</v>
      </c>
      <c r="N10" s="43">
        <f t="shared" si="10"/>
        <v>7.8059565606262427E-2</v>
      </c>
      <c r="O10" s="54">
        <f>O27/O4</f>
        <v>7.0083041050789413E-2</v>
      </c>
      <c r="P10" s="43">
        <f>P27/P4</f>
        <v>6.9982793265472937E-2</v>
      </c>
      <c r="Q10" s="44">
        <f t="shared" si="0"/>
        <v>-1.7156764641112626E-3</v>
      </c>
      <c r="R10" s="68">
        <f t="shared" si="1"/>
        <v>-2.3482646421839597E-2</v>
      </c>
      <c r="S10" s="44">
        <f t="shared" si="2"/>
        <v>-1.3629916274981863E-3</v>
      </c>
      <c r="T10" s="68">
        <f t="shared" si="3"/>
        <v>-1.9104024569116012E-2</v>
      </c>
      <c r="U10" s="44">
        <f t="shared" si="4"/>
        <v>-3.0786680916094489E-3</v>
      </c>
      <c r="V10" s="68">
        <f t="shared" si="5"/>
        <v>-4.2138057936764922E-2</v>
      </c>
      <c r="W10" s="21"/>
    </row>
    <row r="11" spans="1:26" ht="13.9" thickBot="1">
      <c r="A11" s="684" t="s">
        <v>184</v>
      </c>
      <c r="B11" s="684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55"/>
      <c r="P11" s="30"/>
      <c r="Q11" s="629">
        <f>R12/R4</f>
        <v>0.70386638098123344</v>
      </c>
      <c r="R11" s="629"/>
      <c r="S11" s="629">
        <f>T12/T4</f>
        <v>0.78872374888543706</v>
      </c>
      <c r="T11" s="629"/>
      <c r="U11" s="629">
        <f>V12/V4</f>
        <v>0.74330264934316648</v>
      </c>
      <c r="V11" s="629"/>
      <c r="W11" s="21"/>
    </row>
    <row r="12" spans="1:26" ht="13.9" thickBot="1">
      <c r="A12" s="683" t="s">
        <v>185</v>
      </c>
      <c r="B12" s="683"/>
      <c r="C12" s="32">
        <v>240.94900000000001</v>
      </c>
      <c r="D12" s="32">
        <v>265.863500106044</v>
      </c>
      <c r="E12" s="32">
        <v>260.68351512817139</v>
      </c>
      <c r="F12" s="32">
        <v>256.14125840229013</v>
      </c>
      <c r="G12" s="32">
        <v>258.82546049434461</v>
      </c>
      <c r="H12" s="32">
        <v>263.89937047342903</v>
      </c>
      <c r="I12" s="32">
        <v>267.06031777060616</v>
      </c>
      <c r="J12" s="32">
        <v>269.8825444421372</v>
      </c>
      <c r="K12" s="32">
        <v>274.67791232664337</v>
      </c>
      <c r="L12" s="32">
        <v>282.83798546175137</v>
      </c>
      <c r="M12" s="32">
        <v>288.84888292548123</v>
      </c>
      <c r="N12" s="32">
        <v>299.40195732398388</v>
      </c>
      <c r="O12" s="56">
        <v>300.51926204897842</v>
      </c>
      <c r="P12" s="32">
        <v>308.36436527035954</v>
      </c>
      <c r="Q12" s="47">
        <f>K12-F12</f>
        <v>18.536653924353232</v>
      </c>
      <c r="R12" s="33">
        <f>Q12/F12</f>
        <v>7.236887192628666E-2</v>
      </c>
      <c r="S12" s="47">
        <f>P12-K12</f>
        <v>33.686452943716176</v>
      </c>
      <c r="T12" s="33">
        <f>S12/K12</f>
        <v>0.12263983171554285</v>
      </c>
      <c r="U12" s="47">
        <f>P12-F12</f>
        <v>52.223106868069408</v>
      </c>
      <c r="V12" s="33">
        <f>U12/F12</f>
        <v>0.20388400991631297</v>
      </c>
      <c r="W12" s="21"/>
    </row>
    <row r="13" spans="1:26" ht="13.9" thickBot="1">
      <c r="A13" s="685" t="s">
        <v>186</v>
      </c>
      <c r="B13" s="685"/>
      <c r="C13" s="34">
        <v>49.441287794838807</v>
      </c>
      <c r="D13" s="34">
        <v>57.772612846056283</v>
      </c>
      <c r="E13" s="34">
        <v>57.542153101795968</v>
      </c>
      <c r="F13" s="98" t="e">
        <f>'T11-7'!#REF!/1000</f>
        <v>#REF!</v>
      </c>
      <c r="G13" s="98">
        <v>57.060606641589004</v>
      </c>
      <c r="H13" s="98">
        <v>60.230489937937016</v>
      </c>
      <c r="I13" s="98">
        <v>63.199410010412166</v>
      </c>
      <c r="J13" s="98">
        <v>59.268159309905606</v>
      </c>
      <c r="K13" s="98">
        <f>'T11-7'!E11/1000</f>
        <v>48.627804303809391</v>
      </c>
      <c r="L13" s="98">
        <v>67.487366297817374</v>
      </c>
      <c r="M13" s="98">
        <v>69.604923517061152</v>
      </c>
      <c r="N13" s="98">
        <v>83.297553686447031</v>
      </c>
      <c r="O13" s="98">
        <v>68.790115966684112</v>
      </c>
      <c r="P13" s="98">
        <f>'T11-7'!J11/1000</f>
        <v>59.134937887929638</v>
      </c>
      <c r="Q13" s="96" t="e">
        <f>K13-F13</f>
        <v>#REF!</v>
      </c>
      <c r="R13" s="97" t="e">
        <f>Q13/F13</f>
        <v>#REF!</v>
      </c>
      <c r="S13" s="96">
        <f>P13-K13</f>
        <v>10.507133584120247</v>
      </c>
      <c r="T13" s="97">
        <f t="shared" ref="T13:T26" si="11">S13/K13</f>
        <v>0.21607254809358403</v>
      </c>
      <c r="U13" s="96" t="e">
        <f>P13-F13</f>
        <v>#REF!</v>
      </c>
      <c r="V13" s="97" t="e">
        <f>U13/F13</f>
        <v>#REF!</v>
      </c>
      <c r="W13" s="21"/>
      <c r="X13" s="99" t="e">
        <f>F13*365*0.88</f>
        <v>#REF!</v>
      </c>
      <c r="Y13" s="99">
        <f>K13*365*0.88</f>
        <v>15619.250742383578</v>
      </c>
      <c r="Z13" s="99">
        <f>P13*365*0.88</f>
        <v>18994.142049603</v>
      </c>
    </row>
    <row r="14" spans="1:26" ht="13.9" thickBot="1">
      <c r="A14" s="685" t="s">
        <v>187</v>
      </c>
      <c r="B14" s="685"/>
      <c r="C14" s="34" t="e">
        <v>#REF!</v>
      </c>
      <c r="D14" s="34">
        <v>18.670497456577198</v>
      </c>
      <c r="E14" s="34">
        <v>19.058552444951093</v>
      </c>
      <c r="F14" s="34">
        <v>15.809243303689104</v>
      </c>
      <c r="G14" s="34">
        <v>16.027399099156657</v>
      </c>
      <c r="H14" s="34">
        <v>18.281359678910079</v>
      </c>
      <c r="I14" s="34">
        <v>16.195658704394074</v>
      </c>
      <c r="J14" s="34">
        <v>16.402465237246282</v>
      </c>
      <c r="K14" s="34">
        <v>16.44220258325532</v>
      </c>
      <c r="L14" s="34">
        <v>18.824673072543224</v>
      </c>
      <c r="M14" s="34">
        <v>19.119271227790531</v>
      </c>
      <c r="N14" s="34">
        <v>17.266691854005298</v>
      </c>
      <c r="O14" s="57">
        <v>17.588003033251855</v>
      </c>
      <c r="P14" s="34">
        <v>18.155990320318892</v>
      </c>
      <c r="Q14" s="31">
        <f t="shared" ref="Q14:Q26" si="12">K14-F14</f>
        <v>0.63295927956621512</v>
      </c>
      <c r="R14" s="29">
        <f t="shared" ref="R14:R26" si="13">Q14/F14</f>
        <v>4.0037291311628642E-2</v>
      </c>
      <c r="S14" s="31">
        <f t="shared" ref="S14:S26" si="14">P14-K14</f>
        <v>1.7137877370635728</v>
      </c>
      <c r="T14" s="29">
        <f t="shared" si="11"/>
        <v>0.10423103160210957</v>
      </c>
      <c r="U14" s="31">
        <f t="shared" ref="U14:U26" si="15">P14-F14</f>
        <v>2.3467470166297879</v>
      </c>
      <c r="V14" s="29">
        <f t="shared" ref="V14:V26" si="16">U14/F14</f>
        <v>0.14844145108970344</v>
      </c>
      <c r="W14" s="21"/>
      <c r="X14" s="99"/>
      <c r="Y14" s="99"/>
      <c r="Z14" s="99"/>
    </row>
    <row r="15" spans="1:26" ht="13.9" thickBot="1">
      <c r="A15" s="685" t="s">
        <v>188</v>
      </c>
      <c r="B15" s="685"/>
      <c r="C15" s="34">
        <v>55.006</v>
      </c>
      <c r="D15" s="34">
        <v>53.780106056532738</v>
      </c>
      <c r="E15" s="34">
        <v>53.774079549183341</v>
      </c>
      <c r="F15" s="34">
        <v>57.46120929709064</v>
      </c>
      <c r="G15" s="34">
        <v>53.97177747139316</v>
      </c>
      <c r="H15" s="34">
        <v>53.362742589984329</v>
      </c>
      <c r="I15" s="34">
        <v>52.752028361955553</v>
      </c>
      <c r="J15" s="34">
        <v>52.658554028833173</v>
      </c>
      <c r="K15" s="34">
        <v>52.826540037529277</v>
      </c>
      <c r="L15" s="34">
        <v>52.515462909713605</v>
      </c>
      <c r="M15" s="34">
        <v>52.689316215534419</v>
      </c>
      <c r="N15" s="34">
        <v>53.03395605988274</v>
      </c>
      <c r="O15" s="57">
        <v>53.382749618135904</v>
      </c>
      <c r="P15" s="34">
        <v>53.372729216657845</v>
      </c>
      <c r="Q15" s="31">
        <f t="shared" si="12"/>
        <v>-4.6346692595613632</v>
      </c>
      <c r="R15" s="29">
        <f t="shared" si="13"/>
        <v>-8.0657356784797504E-2</v>
      </c>
      <c r="S15" s="31">
        <f t="shared" si="14"/>
        <v>0.54618917912856801</v>
      </c>
      <c r="T15" s="29">
        <f t="shared" si="11"/>
        <v>1.0339294959324266E-2</v>
      </c>
      <c r="U15" s="31">
        <f t="shared" si="15"/>
        <v>-4.0884800804327952</v>
      </c>
      <c r="V15" s="29">
        <f t="shared" si="16"/>
        <v>-7.1152002027910707E-2</v>
      </c>
      <c r="W15" s="21"/>
      <c r="X15" s="99"/>
      <c r="Y15" s="99"/>
      <c r="Z15" s="99"/>
    </row>
    <row r="16" spans="1:26" ht="13.9" thickBot="1">
      <c r="A16" s="67" t="s">
        <v>189</v>
      </c>
      <c r="B16" s="67"/>
      <c r="C16" s="34">
        <v>7.7469162549668562</v>
      </c>
      <c r="D16" s="34">
        <v>6.1350668344036663</v>
      </c>
      <c r="E16" s="34">
        <v>6.0388498414044482</v>
      </c>
      <c r="F16" s="34">
        <v>5.4681057815187364</v>
      </c>
      <c r="G16" s="34">
        <v>5.2786239045971062</v>
      </c>
      <c r="H16" s="34">
        <v>5.1797758411366512</v>
      </c>
      <c r="I16" s="34">
        <v>5.1858531097098179</v>
      </c>
      <c r="J16" s="34">
        <v>5.2508072304502278</v>
      </c>
      <c r="K16" s="34">
        <v>5.3130046431812099</v>
      </c>
      <c r="L16" s="34">
        <v>5.4543882603266063</v>
      </c>
      <c r="M16" s="34">
        <v>5.5716032817260883</v>
      </c>
      <c r="N16" s="34">
        <v>5.7859702951464387</v>
      </c>
      <c r="O16" s="57">
        <v>6.0232580867472585</v>
      </c>
      <c r="P16" s="34">
        <v>6.0015631603195985</v>
      </c>
      <c r="Q16" s="31">
        <f t="shared" si="12"/>
        <v>-0.15510113833752648</v>
      </c>
      <c r="R16" s="29">
        <f t="shared" si="13"/>
        <v>-2.836469236965785E-2</v>
      </c>
      <c r="S16" s="31">
        <f t="shared" si="14"/>
        <v>0.68855851713838856</v>
      </c>
      <c r="T16" s="29">
        <f t="shared" si="11"/>
        <v>0.12959870419501607</v>
      </c>
      <c r="U16" s="31">
        <f t="shared" si="15"/>
        <v>0.53345737880086208</v>
      </c>
      <c r="V16" s="29">
        <f t="shared" si="16"/>
        <v>9.7557984449360313E-2</v>
      </c>
      <c r="W16" s="21"/>
      <c r="X16" s="99"/>
      <c r="Y16" s="99"/>
      <c r="Z16" s="99"/>
    </row>
    <row r="17" spans="1:26" ht="13.9" thickBot="1">
      <c r="A17" s="685" t="s">
        <v>190</v>
      </c>
      <c r="B17" s="685"/>
      <c r="C17" s="34">
        <v>145.51900000000001</v>
      </c>
      <c r="D17" s="34">
        <v>134.345276652</v>
      </c>
      <c r="E17" s="34">
        <v>134.60713323600001</v>
      </c>
      <c r="F17" s="34">
        <v>136.16378223772381</v>
      </c>
      <c r="G17" s="34">
        <v>139.57167828606055</v>
      </c>
      <c r="H17" s="34">
        <v>145.43402252868731</v>
      </c>
      <c r="I17" s="34">
        <v>150.41118747288647</v>
      </c>
      <c r="J17" s="34">
        <v>153.83412475120571</v>
      </c>
      <c r="K17" s="34">
        <v>156.72230526207119</v>
      </c>
      <c r="L17" s="34">
        <v>160.00224626164453</v>
      </c>
      <c r="M17" s="34">
        <v>163.21395195514879</v>
      </c>
      <c r="N17" s="34">
        <v>166.50715616385511</v>
      </c>
      <c r="O17" s="57">
        <v>169.47003644831099</v>
      </c>
      <c r="P17" s="34">
        <v>175.46240324537339</v>
      </c>
      <c r="Q17" s="31">
        <f t="shared" si="12"/>
        <v>20.55852302434738</v>
      </c>
      <c r="R17" s="29">
        <f t="shared" si="13"/>
        <v>0.15098378354719127</v>
      </c>
      <c r="S17" s="31">
        <f t="shared" si="14"/>
        <v>18.740097983302206</v>
      </c>
      <c r="T17" s="29">
        <f t="shared" si="11"/>
        <v>0.11957518077573576</v>
      </c>
      <c r="U17" s="31">
        <f t="shared" si="15"/>
        <v>39.298621007649587</v>
      </c>
      <c r="V17" s="29">
        <f t="shared" si="16"/>
        <v>0.28861287753478698</v>
      </c>
      <c r="W17" s="21"/>
      <c r="X17" s="99"/>
      <c r="Y17" s="99"/>
      <c r="Z17" s="99"/>
    </row>
    <row r="18" spans="1:26" ht="13.9" thickBot="1">
      <c r="A18" s="685" t="s">
        <v>191</v>
      </c>
      <c r="B18" s="685"/>
      <c r="C18" s="34">
        <v>455.65043309302325</v>
      </c>
      <c r="D18" s="34">
        <v>530.86782611730393</v>
      </c>
      <c r="E18" s="34">
        <v>522.62373140328691</v>
      </c>
      <c r="F18" s="34">
        <v>515.54963297222832</v>
      </c>
      <c r="G18" s="34">
        <v>527.80977370045127</v>
      </c>
      <c r="H18" s="34">
        <v>545.10970870005735</v>
      </c>
      <c r="I18" s="34">
        <v>563.01989532216624</v>
      </c>
      <c r="J18" s="34">
        <v>582.81622108797808</v>
      </c>
      <c r="K18" s="34">
        <v>608.81078581639929</v>
      </c>
      <c r="L18" s="34">
        <v>637.39124598254136</v>
      </c>
      <c r="M18" s="34">
        <v>663.09531114024605</v>
      </c>
      <c r="N18" s="34">
        <v>688.75696701165157</v>
      </c>
      <c r="O18" s="57">
        <v>714.21364877433757</v>
      </c>
      <c r="P18" s="34">
        <v>741.04355278338448</v>
      </c>
      <c r="Q18" s="31">
        <f t="shared" si="12"/>
        <v>93.261152844170965</v>
      </c>
      <c r="R18" s="29">
        <f t="shared" si="13"/>
        <v>0.18089655559738274</v>
      </c>
      <c r="S18" s="31">
        <f t="shared" si="14"/>
        <v>132.2327669669852</v>
      </c>
      <c r="T18" s="29">
        <f t="shared" si="11"/>
        <v>0.21719846304901536</v>
      </c>
      <c r="U18" s="31">
        <f t="shared" si="15"/>
        <v>225.49391981115616</v>
      </c>
      <c r="V18" s="29">
        <f t="shared" si="16"/>
        <v>0.43738547249301035</v>
      </c>
      <c r="W18" s="21"/>
      <c r="X18" s="99"/>
      <c r="Y18" s="99"/>
      <c r="Z18" s="99"/>
    </row>
    <row r="19" spans="1:26" ht="13.9" thickBot="1">
      <c r="A19" s="685" t="s">
        <v>192</v>
      </c>
      <c r="B19" s="685"/>
      <c r="C19" s="34">
        <v>25.306000000000001</v>
      </c>
      <c r="D19" s="34">
        <v>26.120266000000001</v>
      </c>
      <c r="E19" s="34">
        <v>30.680465999999999</v>
      </c>
      <c r="F19" s="34">
        <v>27.72790435236103</v>
      </c>
      <c r="G19" s="34">
        <v>26.872653837383254</v>
      </c>
      <c r="H19" s="34">
        <v>28.547219685281714</v>
      </c>
      <c r="I19" s="34">
        <v>30.373671702281754</v>
      </c>
      <c r="J19" s="34">
        <v>32.419594642577543</v>
      </c>
      <c r="K19" s="34">
        <v>33.814411928796765</v>
      </c>
      <c r="L19" s="34">
        <v>35.36702757335771</v>
      </c>
      <c r="M19" s="34">
        <v>36.884815501715138</v>
      </c>
      <c r="N19" s="34">
        <v>38.09466502864543</v>
      </c>
      <c r="O19" s="57">
        <v>39.387783095861344</v>
      </c>
      <c r="P19" s="34">
        <v>40.882645452263084</v>
      </c>
      <c r="Q19" s="31">
        <f t="shared" si="12"/>
        <v>6.0865075764357357</v>
      </c>
      <c r="R19" s="29">
        <f t="shared" si="13"/>
        <v>0.21950838761882377</v>
      </c>
      <c r="S19" s="31">
        <f t="shared" si="14"/>
        <v>7.0682335234663185</v>
      </c>
      <c r="T19" s="29">
        <f t="shared" si="11"/>
        <v>0.20903020695287988</v>
      </c>
      <c r="U19" s="31">
        <f t="shared" si="15"/>
        <v>13.154741099902054</v>
      </c>
      <c r="V19" s="29">
        <f t="shared" si="16"/>
        <v>0.47442247826355938</v>
      </c>
      <c r="W19" s="21"/>
      <c r="X19" s="99"/>
      <c r="Y19" s="99"/>
      <c r="Z19" s="99"/>
    </row>
    <row r="20" spans="1:26" ht="13.9" thickBot="1">
      <c r="A20" s="685" t="s">
        <v>193</v>
      </c>
      <c r="B20" s="685"/>
      <c r="C20" s="34">
        <v>2.3974056603773581</v>
      </c>
      <c r="D20" s="34">
        <v>2.5862704000000001</v>
      </c>
      <c r="E20" s="34">
        <v>3.1749212499999997</v>
      </c>
      <c r="F20" s="34">
        <v>3.5337029071131569</v>
      </c>
      <c r="G20" s="34">
        <v>3.9580885764888194</v>
      </c>
      <c r="H20" s="34">
        <v>4.3852528191507183</v>
      </c>
      <c r="I20" s="34">
        <v>4.8534159025970318</v>
      </c>
      <c r="J20" s="34">
        <v>5.2196486947753655</v>
      </c>
      <c r="K20" s="34">
        <v>5.3250022703593132</v>
      </c>
      <c r="L20" s="34">
        <v>5.2688518410870984</v>
      </c>
      <c r="M20" s="34">
        <v>5.4288757819699249</v>
      </c>
      <c r="N20" s="34">
        <v>5.6188706549530956</v>
      </c>
      <c r="O20" s="57">
        <v>5.9515114635411779</v>
      </c>
      <c r="P20" s="34">
        <v>6.6107137810216674</v>
      </c>
      <c r="Q20" s="31">
        <f t="shared" si="12"/>
        <v>1.7912993632461562</v>
      </c>
      <c r="R20" s="29">
        <f t="shared" si="13"/>
        <v>0.50691849607400929</v>
      </c>
      <c r="S20" s="31">
        <f t="shared" si="14"/>
        <v>1.2857115106623542</v>
      </c>
      <c r="T20" s="29">
        <f t="shared" si="11"/>
        <v>0.2414480680729548</v>
      </c>
      <c r="U20" s="31">
        <f t="shared" si="15"/>
        <v>3.0770108739085105</v>
      </c>
      <c r="V20" s="29">
        <f t="shared" si="16"/>
        <v>0.87076105569448137</v>
      </c>
      <c r="W20" s="21"/>
      <c r="X20" s="99"/>
      <c r="Y20" s="99"/>
      <c r="Z20" s="99"/>
    </row>
    <row r="21" spans="1:26" ht="13.9" thickBot="1">
      <c r="A21" s="685" t="s">
        <v>194</v>
      </c>
      <c r="B21" s="685"/>
      <c r="C21" s="34">
        <f t="shared" ref="C21" si="17">SUM(C22:C26)</f>
        <v>90.454929435108795</v>
      </c>
      <c r="D21" s="34">
        <v>114.70892189544566</v>
      </c>
      <c r="E21" s="34">
        <v>107.96133834047572</v>
      </c>
      <c r="F21" s="34">
        <v>105.51169172027558</v>
      </c>
      <c r="G21" s="34">
        <v>105.22186170940554</v>
      </c>
      <c r="H21" s="34">
        <v>104.0187675917623</v>
      </c>
      <c r="I21" s="34">
        <v>102.74980021084187</v>
      </c>
      <c r="J21" s="34">
        <v>102.17450083666195</v>
      </c>
      <c r="K21" s="34">
        <v>102.10339451000168</v>
      </c>
      <c r="L21" s="34">
        <v>101.35800835004709</v>
      </c>
      <c r="M21" s="34">
        <v>100.72229157277437</v>
      </c>
      <c r="N21" s="34">
        <v>100.57833161703569</v>
      </c>
      <c r="O21" s="57">
        <v>100.69153910878613</v>
      </c>
      <c r="P21" s="34">
        <v>108.77077048772635</v>
      </c>
      <c r="Q21" s="31">
        <f t="shared" si="12"/>
        <v>-3.4082972102739006</v>
      </c>
      <c r="R21" s="29">
        <f t="shared" si="13"/>
        <v>-3.2302554861026338E-2</v>
      </c>
      <c r="S21" s="31">
        <f t="shared" si="14"/>
        <v>6.6673759777246744</v>
      </c>
      <c r="T21" s="29">
        <f t="shared" si="11"/>
        <v>6.5300238152920201E-2</v>
      </c>
      <c r="U21" s="31">
        <f t="shared" si="15"/>
        <v>3.2590787674507737</v>
      </c>
      <c r="V21" s="29">
        <f t="shared" si="16"/>
        <v>3.0888318766521067E-2</v>
      </c>
      <c r="W21" s="21"/>
      <c r="X21" s="99"/>
      <c r="Y21" s="99"/>
      <c r="Z21" s="99"/>
    </row>
    <row r="22" spans="1:26" ht="13.9" thickBot="1">
      <c r="A22" s="685" t="s">
        <v>195</v>
      </c>
      <c r="B22" s="685"/>
      <c r="C22" s="34">
        <v>46.23</v>
      </c>
      <c r="D22" s="34">
        <v>58.885173850581481</v>
      </c>
      <c r="E22" s="34">
        <v>56.642717791855631</v>
      </c>
      <c r="F22" s="34">
        <v>52.273213270517488</v>
      </c>
      <c r="G22" s="34">
        <v>51.715042410460825</v>
      </c>
      <c r="H22" s="34">
        <v>51.744278393281796</v>
      </c>
      <c r="I22" s="34">
        <v>51.985559511650116</v>
      </c>
      <c r="J22" s="34">
        <v>53.041417850329495</v>
      </c>
      <c r="K22" s="34">
        <v>54.171471249545533</v>
      </c>
      <c r="L22" s="34">
        <v>54.171471249545533</v>
      </c>
      <c r="M22" s="34">
        <v>54.171471249545533</v>
      </c>
      <c r="N22" s="34">
        <v>54.171471249545533</v>
      </c>
      <c r="O22" s="57">
        <v>54.171471249545533</v>
      </c>
      <c r="P22" s="34">
        <v>61.874597194930637</v>
      </c>
      <c r="Q22" s="31">
        <f t="shared" si="12"/>
        <v>1.8982579790280454</v>
      </c>
      <c r="R22" s="29">
        <f t="shared" si="13"/>
        <v>3.6314162842915915E-2</v>
      </c>
      <c r="S22" s="31">
        <f t="shared" si="14"/>
        <v>7.7031259453851035</v>
      </c>
      <c r="T22" s="29">
        <f t="shared" si="11"/>
        <v>0.14219894286976242</v>
      </c>
      <c r="U22" s="31">
        <f t="shared" si="15"/>
        <v>9.6013839244131489</v>
      </c>
      <c r="V22" s="29">
        <f t="shared" si="16"/>
        <v>0.18367694128014139</v>
      </c>
      <c r="W22" s="21"/>
      <c r="X22" s="99"/>
      <c r="Y22" s="99"/>
      <c r="Z22" s="99"/>
    </row>
    <row r="23" spans="1:26" ht="13.9" thickBot="1">
      <c r="A23" s="685" t="s">
        <v>196</v>
      </c>
      <c r="B23" s="685"/>
      <c r="C23" s="34">
        <v>4.7072396779168324</v>
      </c>
      <c r="D23" s="34">
        <v>4.2606768220450357</v>
      </c>
      <c r="E23" s="34">
        <v>3.360179907849334</v>
      </c>
      <c r="F23" s="34">
        <v>3.8160415267990273</v>
      </c>
      <c r="G23" s="34">
        <v>3.7303704240161428</v>
      </c>
      <c r="H23" s="34">
        <v>3.8554273566791064</v>
      </c>
      <c r="I23" s="34">
        <v>3.9542369816104235</v>
      </c>
      <c r="J23" s="34">
        <v>3.8973860873630883</v>
      </c>
      <c r="K23" s="34">
        <v>3.8871588158550261</v>
      </c>
      <c r="L23" s="34">
        <v>3.9395633690135665</v>
      </c>
      <c r="M23" s="34">
        <v>4.0175855771697124</v>
      </c>
      <c r="N23" s="34">
        <v>4.1049025593654394</v>
      </c>
      <c r="O23" s="57">
        <v>4.19924363162853</v>
      </c>
      <c r="P23" s="34">
        <v>4.3318943393205958</v>
      </c>
      <c r="Q23" s="31">
        <f t="shared" si="12"/>
        <v>7.1117289055998789E-2</v>
      </c>
      <c r="R23" s="29">
        <f t="shared" si="13"/>
        <v>1.8636403340100288E-2</v>
      </c>
      <c r="S23" s="31">
        <f t="shared" si="14"/>
        <v>0.44473552346556966</v>
      </c>
      <c r="T23" s="29">
        <f t="shared" si="11"/>
        <v>0.11441146208165535</v>
      </c>
      <c r="U23" s="31">
        <f t="shared" si="15"/>
        <v>0.51585281252156845</v>
      </c>
      <c r="V23" s="29">
        <f t="shared" si="16"/>
        <v>0.13518008357583997</v>
      </c>
      <c r="W23" s="21"/>
      <c r="X23" s="99"/>
      <c r="Y23" s="99"/>
      <c r="Z23" s="99"/>
    </row>
    <row r="24" spans="1:26" ht="13.9" thickBot="1">
      <c r="A24" s="685" t="s">
        <v>197</v>
      </c>
      <c r="B24" s="685"/>
      <c r="C24" s="34">
        <v>22.83</v>
      </c>
      <c r="D24" s="34">
        <v>33.429284750254403</v>
      </c>
      <c r="E24" s="34">
        <v>30.267463865930004</v>
      </c>
      <c r="F24" s="34">
        <v>31.905313800241078</v>
      </c>
      <c r="G24" s="34">
        <v>32.031876746057748</v>
      </c>
      <c r="H24" s="34">
        <v>30.398448860478382</v>
      </c>
      <c r="I24" s="34">
        <v>28.494978288375812</v>
      </c>
      <c r="J24" s="34">
        <v>26.578578983371187</v>
      </c>
      <c r="K24" s="34">
        <v>25.036356990344135</v>
      </c>
      <c r="L24" s="34">
        <v>23.885361836326737</v>
      </c>
      <c r="M24" s="34">
        <v>22.809722714038241</v>
      </c>
      <c r="N24" s="34">
        <v>22.209285064752351</v>
      </c>
      <c r="O24" s="57">
        <v>21.85947550062599</v>
      </c>
      <c r="P24" s="34">
        <v>21.719278328987581</v>
      </c>
      <c r="Q24" s="31">
        <f t="shared" si="12"/>
        <v>-6.8689568098969431</v>
      </c>
      <c r="R24" s="29">
        <f t="shared" si="13"/>
        <v>-0.21529193703918501</v>
      </c>
      <c r="S24" s="31">
        <f t="shared" si="14"/>
        <v>-3.3170786613565539</v>
      </c>
      <c r="T24" s="29">
        <f t="shared" si="11"/>
        <v>-0.13249046826724287</v>
      </c>
      <c r="U24" s="31">
        <f t="shared" si="15"/>
        <v>-10.186035471253497</v>
      </c>
      <c r="V24" s="29">
        <f t="shared" si="16"/>
        <v>-0.3192582757539445</v>
      </c>
      <c r="W24" s="21"/>
      <c r="X24" s="99"/>
      <c r="Y24" s="99"/>
      <c r="Z24" s="99"/>
    </row>
    <row r="25" spans="1:26" ht="13.9" thickBot="1">
      <c r="A25" s="685" t="s">
        <v>198</v>
      </c>
      <c r="B25" s="685"/>
      <c r="C25" s="34">
        <v>12.801105787799356</v>
      </c>
      <c r="D25" s="34">
        <v>13.687129337564741</v>
      </c>
      <c r="E25" s="34">
        <v>13.295880145840748</v>
      </c>
      <c r="F25" s="34">
        <v>13.458855332322532</v>
      </c>
      <c r="G25" s="34">
        <v>13.664247475082542</v>
      </c>
      <c r="H25" s="34">
        <v>13.860523280407707</v>
      </c>
      <c r="I25" s="34">
        <v>14.060203349927715</v>
      </c>
      <c r="J25" s="34">
        <v>14.277934263399366</v>
      </c>
      <c r="K25" s="34">
        <v>14.496772925446187</v>
      </c>
      <c r="L25" s="34">
        <v>14.713818602266871</v>
      </c>
      <c r="M25" s="34">
        <v>14.930748896903875</v>
      </c>
      <c r="N25" s="34">
        <v>15.145589992130072</v>
      </c>
      <c r="O25" s="57">
        <v>15.355317020801419</v>
      </c>
      <c r="P25" s="34">
        <v>15.575250147458851</v>
      </c>
      <c r="Q25" s="31">
        <f t="shared" si="12"/>
        <v>1.0379175931236553</v>
      </c>
      <c r="R25" s="29">
        <f t="shared" si="13"/>
        <v>7.7117820757833105E-2</v>
      </c>
      <c r="S25" s="31">
        <f t="shared" si="14"/>
        <v>1.0784772220126637</v>
      </c>
      <c r="T25" s="29">
        <f t="shared" si="11"/>
        <v>7.4394296410590283E-2</v>
      </c>
      <c r="U25" s="31">
        <f t="shared" si="15"/>
        <v>2.116394815136319</v>
      </c>
      <c r="V25" s="29">
        <f t="shared" si="16"/>
        <v>0.15724924318442041</v>
      </c>
      <c r="W25" s="21"/>
      <c r="X25" s="99"/>
      <c r="Y25" s="99"/>
      <c r="Z25" s="99"/>
    </row>
    <row r="26" spans="1:26" ht="13.9" thickBot="1">
      <c r="A26" s="685" t="s">
        <v>199</v>
      </c>
      <c r="B26" s="685"/>
      <c r="C26" s="34">
        <v>3.8865839693926136</v>
      </c>
      <c r="D26" s="34">
        <v>4.4466571350000006</v>
      </c>
      <c r="E26" s="34">
        <v>4.3950966290000002</v>
      </c>
      <c r="F26" s="34">
        <v>4.0582677903954609</v>
      </c>
      <c r="G26" s="34">
        <v>4.0803246537882831</v>
      </c>
      <c r="H26" s="34">
        <v>4.1600897009153099</v>
      </c>
      <c r="I26" s="34">
        <v>4.2548220792778029</v>
      </c>
      <c r="J26" s="34">
        <v>4.379183652198817</v>
      </c>
      <c r="K26" s="34">
        <v>4.5116345288108066</v>
      </c>
      <c r="L26" s="34">
        <v>4.647793292894379</v>
      </c>
      <c r="M26" s="34">
        <v>4.792763135116993</v>
      </c>
      <c r="N26" s="34">
        <v>4.9470827512422879</v>
      </c>
      <c r="O26" s="57">
        <v>5.1060317061846492</v>
      </c>
      <c r="P26" s="34">
        <v>5.2697504770286994</v>
      </c>
      <c r="Q26" s="31">
        <f t="shared" si="12"/>
        <v>0.45336673841534569</v>
      </c>
      <c r="R26" s="29">
        <f t="shared" si="13"/>
        <v>0.11171434755693316</v>
      </c>
      <c r="S26" s="31">
        <f t="shared" si="14"/>
        <v>0.75811594821789274</v>
      </c>
      <c r="T26" s="29">
        <f t="shared" si="11"/>
        <v>0.16803576251060384</v>
      </c>
      <c r="U26" s="31">
        <f t="shared" si="15"/>
        <v>1.2114826866332384</v>
      </c>
      <c r="V26" s="29">
        <f t="shared" si="16"/>
        <v>0.29852211564264086</v>
      </c>
      <c r="W26" s="21"/>
      <c r="X26" s="99"/>
      <c r="Y26" s="99"/>
      <c r="Z26" s="99"/>
    </row>
    <row r="27" spans="1:26" ht="13.9" thickBot="1">
      <c r="A27" s="683" t="s">
        <v>200</v>
      </c>
      <c r="B27" s="683"/>
      <c r="C27" s="32">
        <v>268.75400000000002</v>
      </c>
      <c r="D27" s="32">
        <v>305.58874921989974</v>
      </c>
      <c r="E27" s="32">
        <v>299.2114043612782</v>
      </c>
      <c r="F27" s="32">
        <v>287.75539968148428</v>
      </c>
      <c r="G27" s="32">
        <v>291.57359794874975</v>
      </c>
      <c r="H27" s="32">
        <v>305.70868016469245</v>
      </c>
      <c r="I27" s="32">
        <v>308.11368097254734</v>
      </c>
      <c r="J27" s="32">
        <v>302.3446024820197</v>
      </c>
      <c r="K27" s="32">
        <v>309.88930460427525</v>
      </c>
      <c r="L27" s="32">
        <v>360.62560961762375</v>
      </c>
      <c r="M27" s="32">
        <v>373.98298020505337</v>
      </c>
      <c r="N27" s="32">
        <v>369.41124519543342</v>
      </c>
      <c r="O27" s="56">
        <v>341.55247660833697</v>
      </c>
      <c r="P27" s="32">
        <v>351.23379144895955</v>
      </c>
      <c r="Q27" s="47">
        <f>K27-F27</f>
        <v>22.133904922790975</v>
      </c>
      <c r="R27" s="33">
        <f>Q27/F27</f>
        <v>7.6919164496273354E-2</v>
      </c>
      <c r="S27" s="47">
        <f>P27-K27</f>
        <v>41.344486844684297</v>
      </c>
      <c r="T27" s="33">
        <f>S27/K27</f>
        <v>0.13341695318423683</v>
      </c>
      <c r="U27" s="47">
        <f>P27-F27</f>
        <v>63.478391767475273</v>
      </c>
      <c r="V27" s="33">
        <f>U27/F27</f>
        <v>0.2205984382490801</v>
      </c>
      <c r="W27" s="21"/>
      <c r="X27" s="99"/>
      <c r="Y27" s="99"/>
      <c r="Z27" s="99"/>
    </row>
    <row r="28" spans="1:26">
      <c r="A28" s="627" t="s">
        <v>201</v>
      </c>
      <c r="B28" s="35" t="s">
        <v>202</v>
      </c>
      <c r="C28" s="36">
        <v>2056.3342650039926</v>
      </c>
      <c r="D28" s="36">
        <v>2254.6620622556666</v>
      </c>
      <c r="E28" s="36">
        <v>2436.6942443777261</v>
      </c>
      <c r="F28" s="36">
        <v>2511.5034866508781</v>
      </c>
      <c r="G28" s="36">
        <v>2745.5479792600895</v>
      </c>
      <c r="H28" s="36">
        <v>3620.0126201793723</v>
      </c>
      <c r="I28" s="36">
        <v>3450.4943700672648</v>
      </c>
      <c r="J28" s="36">
        <v>3129.3881071748879</v>
      </c>
      <c r="K28" s="36">
        <v>3480.1793622197306</v>
      </c>
      <c r="L28" s="36">
        <v>5449.2608300448428</v>
      </c>
      <c r="M28" s="36">
        <v>5457.1621841928254</v>
      </c>
      <c r="N28" s="36">
        <v>5097.3022581838559</v>
      </c>
      <c r="O28" s="58">
        <v>4923.2214310538111</v>
      </c>
      <c r="P28" s="36">
        <v>5149.9256533632288</v>
      </c>
      <c r="Q28" s="48">
        <f>K28-F28</f>
        <v>968.67587556885246</v>
      </c>
      <c r="R28" s="49">
        <f>Q28/F28</f>
        <v>0.38569561249568246</v>
      </c>
      <c r="S28" s="48">
        <f t="shared" ref="S28:S44" si="18">P28-K28</f>
        <v>1669.7462911434982</v>
      </c>
      <c r="T28" s="49">
        <f t="shared" ref="T28:T44" si="19">S28/K28</f>
        <v>0.47978742396728064</v>
      </c>
      <c r="U28" s="48">
        <f>P28-F28</f>
        <v>2638.4221667123506</v>
      </c>
      <c r="V28" s="49">
        <f>U28/F28</f>
        <v>1.0505349408177491</v>
      </c>
      <c r="W28" s="21"/>
      <c r="X28" s="99"/>
      <c r="Y28" s="99"/>
      <c r="Z28" s="99"/>
    </row>
    <row r="29" spans="1:26" ht="13.9" thickBot="1">
      <c r="A29" s="628"/>
      <c r="B29" s="37" t="s">
        <v>203</v>
      </c>
      <c r="C29" s="38">
        <v>-292.07021315805639</v>
      </c>
      <c r="D29" s="38">
        <v>-168.42084506757175</v>
      </c>
      <c r="E29" s="38">
        <v>-438.04334223363537</v>
      </c>
      <c r="F29" s="38">
        <v>-618.29571437865184</v>
      </c>
      <c r="G29" s="38">
        <v>-742.92842503619408</v>
      </c>
      <c r="H29" s="38">
        <v>-1235.3636535940714</v>
      </c>
      <c r="I29" s="38">
        <v>-1202.5047537860278</v>
      </c>
      <c r="J29" s="38">
        <v>-1167.2366120644128</v>
      </c>
      <c r="K29" s="38">
        <v>-1520.8929147736123</v>
      </c>
      <c r="L29" s="38">
        <v>-2028.4052066605391</v>
      </c>
      <c r="M29" s="38">
        <v>-2032.2096403015858</v>
      </c>
      <c r="N29" s="38">
        <v>-2581.7883331531034</v>
      </c>
      <c r="O29" s="59">
        <v>-2856.8507093923981</v>
      </c>
      <c r="P29" s="38">
        <v>-3082.1820457156377</v>
      </c>
      <c r="Q29" s="31">
        <f>K29-F29</f>
        <v>-902.59720039496051</v>
      </c>
      <c r="R29" s="29">
        <f>Q29/F29</f>
        <v>1.4598147446356049</v>
      </c>
      <c r="S29" s="31">
        <f t="shared" si="18"/>
        <v>-1561.2891309420254</v>
      </c>
      <c r="T29" s="29">
        <f t="shared" si="19"/>
        <v>1.0265608549924938</v>
      </c>
      <c r="U29" s="31">
        <f>P29-F29</f>
        <v>-2463.8863313369857</v>
      </c>
      <c r="V29" s="29">
        <f>U29/F29</f>
        <v>3.9849642720118736</v>
      </c>
      <c r="W29" s="21"/>
      <c r="X29" s="99"/>
      <c r="Y29" s="99"/>
      <c r="Z29" s="99"/>
    </row>
    <row r="30" spans="1:26">
      <c r="A30" s="627" t="s">
        <v>204</v>
      </c>
      <c r="B30" s="35" t="s">
        <v>205</v>
      </c>
      <c r="C30" s="39">
        <v>62.82608395756597</v>
      </c>
      <c r="D30" s="39">
        <v>87.38</v>
      </c>
      <c r="E30" s="39">
        <v>96.24</v>
      </c>
      <c r="F30" s="39">
        <v>87.867072729541263</v>
      </c>
      <c r="G30" s="39">
        <v>92.225571345942782</v>
      </c>
      <c r="H30" s="39">
        <v>99.331379997587433</v>
      </c>
      <c r="I30" s="39">
        <v>95.060054345688258</v>
      </c>
      <c r="J30" s="39">
        <v>91.187199515987942</v>
      </c>
      <c r="K30" s="39">
        <v>98.945062742394214</v>
      </c>
      <c r="L30" s="39">
        <v>137.02726150199607</v>
      </c>
      <c r="M30" s="39">
        <v>161.85778395807273</v>
      </c>
      <c r="N30" s="39">
        <v>165.51760891427554</v>
      </c>
      <c r="O30" s="60">
        <v>144.66127857520084</v>
      </c>
      <c r="P30" s="39">
        <v>153.96812347709709</v>
      </c>
      <c r="Q30" s="48">
        <f t="shared" ref="Q30:Q44" si="20">K30-F30</f>
        <v>11.07799001285295</v>
      </c>
      <c r="R30" s="49">
        <f t="shared" ref="R30:R44" si="21">Q30/F30</f>
        <v>0.12607669367740854</v>
      </c>
      <c r="S30" s="48">
        <f t="shared" si="18"/>
        <v>55.023060734702881</v>
      </c>
      <c r="T30" s="49">
        <f t="shared" si="19"/>
        <v>0.55609708266047297</v>
      </c>
      <c r="U30" s="48">
        <f t="shared" ref="U30:U44" si="22">P30-F30</f>
        <v>66.101050747555831</v>
      </c>
      <c r="V30" s="49">
        <f t="shared" ref="V30:V44" si="23">U30/F30</f>
        <v>0.75228465788336651</v>
      </c>
      <c r="W30" s="21"/>
      <c r="X30" s="99">
        <f>F30*365*0.88</f>
        <v>28222.903760728655</v>
      </c>
      <c r="Y30" s="99">
        <f>K30*365*0.88</f>
        <v>31781.15415285702</v>
      </c>
      <c r="Z30" s="99">
        <f>P30*365*0.88</f>
        <v>49454.561260843584</v>
      </c>
    </row>
    <row r="31" spans="1:26" ht="13.9" thickBot="1">
      <c r="A31" s="628"/>
      <c r="B31" s="37" t="s">
        <v>206</v>
      </c>
      <c r="C31" s="40">
        <v>34.651307596513071</v>
      </c>
      <c r="D31" s="40">
        <v>52.93</v>
      </c>
      <c r="E31" s="40">
        <v>50.43</v>
      </c>
      <c r="F31" s="95" t="e">
        <f>'T11-7'!#REF!/1000</f>
        <v>#REF!</v>
      </c>
      <c r="G31" s="95">
        <v>26.700189469684137</v>
      </c>
      <c r="H31" s="95">
        <v>28.784371841669323</v>
      </c>
      <c r="I31" s="95">
        <v>34.171363097728367</v>
      </c>
      <c r="J31" s="95">
        <v>28.46111337131261</v>
      </c>
      <c r="K31" s="95">
        <v>30.84319955651679</v>
      </c>
      <c r="L31" s="95">
        <v>36.816330085109911</v>
      </c>
      <c r="M31" s="95">
        <v>40.314931354039913</v>
      </c>
      <c r="N31" s="95">
        <v>54.75589224233773</v>
      </c>
      <c r="O31" s="95">
        <v>31.248417537359096</v>
      </c>
      <c r="P31" s="95">
        <v>29.802853455830601</v>
      </c>
      <c r="Q31" s="96" t="e">
        <f t="shared" si="20"/>
        <v>#REF!</v>
      </c>
      <c r="R31" s="97" t="e">
        <f t="shared" si="21"/>
        <v>#REF!</v>
      </c>
      <c r="S31" s="96">
        <f t="shared" si="18"/>
        <v>-1.0403461006861896</v>
      </c>
      <c r="T31" s="97">
        <f t="shared" si="19"/>
        <v>-3.3730161450334264E-2</v>
      </c>
      <c r="U31" s="96" t="e">
        <f t="shared" si="22"/>
        <v>#REF!</v>
      </c>
      <c r="V31" s="97" t="e">
        <f t="shared" si="23"/>
        <v>#REF!</v>
      </c>
      <c r="W31" s="21"/>
      <c r="X31" s="99" t="e">
        <f>F31*365*0.88</f>
        <v>#REF!</v>
      </c>
      <c r="Y31" s="99">
        <f>K31*365*0.88</f>
        <v>9906.8356975531933</v>
      </c>
      <c r="Z31" s="99">
        <f>P31*365*0.88</f>
        <v>9572.6765300127881</v>
      </c>
    </row>
    <row r="32" spans="1:26">
      <c r="A32" s="627" t="s">
        <v>207</v>
      </c>
      <c r="B32" s="35" t="s">
        <v>202</v>
      </c>
      <c r="C32" s="39">
        <v>41.429245283018872</v>
      </c>
      <c r="D32" s="39">
        <v>50.135273999999995</v>
      </c>
      <c r="E32" s="39">
        <v>49.821268999999994</v>
      </c>
      <c r="F32" s="39">
        <v>45.369095849744774</v>
      </c>
      <c r="G32" s="39">
        <v>51.027636579095386</v>
      </c>
      <c r="H32" s="39">
        <v>63.746810633836482</v>
      </c>
      <c r="I32" s="39">
        <v>57.101601064578205</v>
      </c>
      <c r="J32" s="39">
        <v>50.62586404788285</v>
      </c>
      <c r="K32" s="39">
        <v>50.502724746082784</v>
      </c>
      <c r="L32" s="39">
        <v>83.44204533266371</v>
      </c>
      <c r="M32" s="39">
        <v>82.670540313155215</v>
      </c>
      <c r="N32" s="39">
        <v>64.021153467917316</v>
      </c>
      <c r="O32" s="60">
        <v>55.091339157917936</v>
      </c>
      <c r="P32" s="39">
        <v>54.738847764882927</v>
      </c>
      <c r="Q32" s="48">
        <f t="shared" si="20"/>
        <v>5.1336288963380099</v>
      </c>
      <c r="R32" s="49">
        <f t="shared" si="21"/>
        <v>0.11315255021479317</v>
      </c>
      <c r="S32" s="48">
        <f t="shared" si="18"/>
        <v>4.2361230188001429</v>
      </c>
      <c r="T32" s="49">
        <f t="shared" si="19"/>
        <v>8.3879098407036251E-2</v>
      </c>
      <c r="U32" s="48">
        <f t="shared" si="22"/>
        <v>9.3697519151381528</v>
      </c>
      <c r="V32" s="49">
        <f t="shared" si="23"/>
        <v>0.20652278251630318</v>
      </c>
      <c r="W32" s="21"/>
    </row>
    <row r="33" spans="1:23" ht="13.5" customHeight="1" thickBot="1">
      <c r="A33" s="628"/>
      <c r="B33" s="37" t="s">
        <v>206</v>
      </c>
      <c r="C33" s="40">
        <v>7.4622641509433958</v>
      </c>
      <c r="D33" s="40">
        <v>10.338797168999999</v>
      </c>
      <c r="E33" s="40">
        <v>6.1722221170000005</v>
      </c>
      <c r="F33" s="40">
        <v>1.4636902631362891</v>
      </c>
      <c r="G33" s="40">
        <v>1.2560709555948653</v>
      </c>
      <c r="H33" s="40">
        <v>-11.588395914642847</v>
      </c>
      <c r="I33" s="40">
        <v>-4.6086638018312378</v>
      </c>
      <c r="J33" s="40">
        <v>3.0434391143257318</v>
      </c>
      <c r="K33" s="40">
        <v>4.3242549109048767</v>
      </c>
      <c r="L33" s="40">
        <v>-26.996966201118411</v>
      </c>
      <c r="M33" s="40">
        <v>-24.443675840507019</v>
      </c>
      <c r="N33" s="40">
        <v>-3.7708054179439361</v>
      </c>
      <c r="O33" s="61">
        <v>6.4870958681848894</v>
      </c>
      <c r="P33" s="40">
        <v>7.9203125163259136</v>
      </c>
      <c r="Q33" s="31">
        <f t="shared" si="20"/>
        <v>2.8605646477685873</v>
      </c>
      <c r="R33" s="29">
        <f t="shared" si="21"/>
        <v>1.9543510808353519</v>
      </c>
      <c r="S33" s="31">
        <f t="shared" si="18"/>
        <v>3.5960576054210369</v>
      </c>
      <c r="T33" s="29">
        <f t="shared" si="19"/>
        <v>0.83160167000158181</v>
      </c>
      <c r="U33" s="31">
        <f t="shared" si="22"/>
        <v>6.4566222531896242</v>
      </c>
      <c r="V33" s="29">
        <f t="shared" si="23"/>
        <v>4.4111943734290087</v>
      </c>
      <c r="W33" s="21"/>
    </row>
    <row r="34" spans="1:23">
      <c r="A34" s="627" t="s">
        <v>208</v>
      </c>
      <c r="B34" s="35" t="s">
        <v>202</v>
      </c>
      <c r="C34" s="39">
        <v>14.164754953076121</v>
      </c>
      <c r="D34" s="39">
        <v>16.814990953076119</v>
      </c>
      <c r="E34" s="39">
        <v>14.795018421272159</v>
      </c>
      <c r="F34" s="39">
        <v>11.724748028493817</v>
      </c>
      <c r="G34" s="39">
        <v>13.251587029054765</v>
      </c>
      <c r="H34" s="39">
        <v>13.008853817513261</v>
      </c>
      <c r="I34" s="39">
        <v>15.770061717190691</v>
      </c>
      <c r="J34" s="39">
        <v>12.150564153681147</v>
      </c>
      <c r="K34" s="39">
        <v>12.242734412792361</v>
      </c>
      <c r="L34" s="39">
        <v>10.851544453208717</v>
      </c>
      <c r="M34" s="39">
        <v>10.971841072198972</v>
      </c>
      <c r="N34" s="39">
        <v>15.321894452594577</v>
      </c>
      <c r="O34" s="60">
        <v>12.057884484141987</v>
      </c>
      <c r="P34" s="39">
        <v>12.638200162311934</v>
      </c>
      <c r="Q34" s="48">
        <f t="shared" si="20"/>
        <v>0.51798638429854371</v>
      </c>
      <c r="R34" s="49">
        <f t="shared" si="21"/>
        <v>4.4178892632892278E-2</v>
      </c>
      <c r="S34" s="48">
        <f t="shared" si="18"/>
        <v>0.39546574951957325</v>
      </c>
      <c r="T34" s="49">
        <f t="shared" si="19"/>
        <v>3.2302076985869545E-2</v>
      </c>
      <c r="U34" s="48">
        <f t="shared" si="22"/>
        <v>0.91345213381811696</v>
      </c>
      <c r="V34" s="49">
        <f t="shared" si="23"/>
        <v>7.7908039609739979E-2</v>
      </c>
      <c r="W34" s="21"/>
    </row>
    <row r="35" spans="1:23" ht="13.9" thickBot="1">
      <c r="A35" s="628"/>
      <c r="B35" s="37" t="s">
        <v>203</v>
      </c>
      <c r="C35" s="40">
        <v>-8.1459854014598534</v>
      </c>
      <c r="D35" s="40">
        <v>-8.0586897920364944</v>
      </c>
      <c r="E35" s="40">
        <v>-7.9175596887810213</v>
      </c>
      <c r="F35" s="40">
        <v>-6.8596321567805587</v>
      </c>
      <c r="G35" s="40">
        <v>-9.2479046787712988</v>
      </c>
      <c r="H35" s="40">
        <v>-8.8698788624935609</v>
      </c>
      <c r="I35" s="40">
        <v>-11.549180893443669</v>
      </c>
      <c r="J35" s="40">
        <v>-7.9767282837150946</v>
      </c>
      <c r="K35" s="40">
        <v>-8.0636928369858598</v>
      </c>
      <c r="L35" s="40">
        <v>-6.6439561755318115</v>
      </c>
      <c r="M35" s="40">
        <v>-6.6878301601454471</v>
      </c>
      <c r="N35" s="40">
        <v>-10.953209654483247</v>
      </c>
      <c r="O35" s="61">
        <v>-7.5228238832786003</v>
      </c>
      <c r="P35" s="40">
        <v>-7.9582323347255866</v>
      </c>
      <c r="Q35" s="31">
        <f t="shared" si="20"/>
        <v>-1.2040606802053011</v>
      </c>
      <c r="R35" s="29">
        <f t="shared" si="21"/>
        <v>0.17552846168509489</v>
      </c>
      <c r="S35" s="31">
        <f t="shared" si="18"/>
        <v>0.10546050226027326</v>
      </c>
      <c r="T35" s="29">
        <f t="shared" si="19"/>
        <v>-1.3078437434590267E-2</v>
      </c>
      <c r="U35" s="31">
        <f t="shared" si="22"/>
        <v>-1.0986001779450278</v>
      </c>
      <c r="V35" s="29">
        <f t="shared" si="23"/>
        <v>0.16015438624636624</v>
      </c>
      <c r="W35" s="21"/>
    </row>
    <row r="36" spans="1:23">
      <c r="A36" s="627" t="s">
        <v>209</v>
      </c>
      <c r="B36" s="35" t="s">
        <v>202</v>
      </c>
      <c r="C36" s="39">
        <v>21.596</v>
      </c>
      <c r="D36" s="39">
        <v>30.172311999999998</v>
      </c>
      <c r="E36" s="39">
        <v>26.995558000000003</v>
      </c>
      <c r="F36" s="64">
        <v>27.8</v>
      </c>
      <c r="G36" s="64">
        <v>27.5</v>
      </c>
      <c r="H36" s="64">
        <v>27.5</v>
      </c>
      <c r="I36" s="39">
        <v>29.412418701498371</v>
      </c>
      <c r="J36" s="39">
        <v>27.883454664693009</v>
      </c>
      <c r="K36" s="39">
        <v>27.480951701122645</v>
      </c>
      <c r="L36" s="39">
        <v>29.617586768934228</v>
      </c>
      <c r="M36" s="39">
        <v>29.625151932878961</v>
      </c>
      <c r="N36" s="39">
        <v>32.897342574795793</v>
      </c>
      <c r="O36" s="60">
        <v>27.512471184542303</v>
      </c>
      <c r="P36" s="39">
        <v>27.454155745709553</v>
      </c>
      <c r="Q36" s="48">
        <f t="shared" si="20"/>
        <v>-0.31904829887735531</v>
      </c>
      <c r="R36" s="49">
        <f t="shared" si="21"/>
        <v>-1.1476557513573932E-2</v>
      </c>
      <c r="S36" s="48">
        <f t="shared" si="18"/>
        <v>-2.6795955413092543E-2</v>
      </c>
      <c r="T36" s="49">
        <f t="shared" si="19"/>
        <v>-9.7507377854013256E-4</v>
      </c>
      <c r="U36" s="48">
        <f t="shared" si="22"/>
        <v>-0.34584425429044785</v>
      </c>
      <c r="V36" s="49">
        <f t="shared" si="23"/>
        <v>-1.2440440801814671E-2</v>
      </c>
      <c r="W36" s="21"/>
    </row>
    <row r="37" spans="1:23" ht="13.5" customHeight="1" thickBot="1">
      <c r="A37" s="628"/>
      <c r="B37" s="37" t="s">
        <v>206</v>
      </c>
      <c r="C37" s="40">
        <v>-0.26200000000000001</v>
      </c>
      <c r="D37" s="40">
        <v>1.7464789999999999</v>
      </c>
      <c r="E37" s="40">
        <v>2.3187129999999998</v>
      </c>
      <c r="F37" s="65">
        <v>3.5</v>
      </c>
      <c r="G37" s="65">
        <v>-0.3</v>
      </c>
      <c r="H37" s="65">
        <v>1</v>
      </c>
      <c r="I37" s="40">
        <v>-0.91744041312256031</v>
      </c>
      <c r="J37" s="40">
        <v>-1.3048756813218243</v>
      </c>
      <c r="K37" s="40">
        <v>-2.4445947107785106</v>
      </c>
      <c r="L37" s="40">
        <v>-5.7322249326074868</v>
      </c>
      <c r="M37" s="40">
        <v>-6.8154292188407197</v>
      </c>
      <c r="N37" s="40">
        <v>-10.688057510043443</v>
      </c>
      <c r="O37" s="61">
        <v>-5.6529956839163136</v>
      </c>
      <c r="P37" s="40">
        <v>-5.7348774167219707</v>
      </c>
      <c r="Q37" s="31">
        <f t="shared" si="20"/>
        <v>-5.9445947107785102</v>
      </c>
      <c r="R37" s="29">
        <f t="shared" si="21"/>
        <v>-1.6984556316510029</v>
      </c>
      <c r="S37" s="31">
        <f t="shared" si="18"/>
        <v>-3.2902827059434601</v>
      </c>
      <c r="T37" s="29">
        <f t="shared" si="19"/>
        <v>1.3459420047978545</v>
      </c>
      <c r="U37" s="31">
        <f t="shared" si="22"/>
        <v>-9.2348774167219716</v>
      </c>
      <c r="V37" s="29">
        <f t="shared" si="23"/>
        <v>-2.6385364047777062</v>
      </c>
      <c r="W37" s="21"/>
    </row>
    <row r="38" spans="1:23">
      <c r="A38" s="627" t="s">
        <v>210</v>
      </c>
      <c r="B38" s="35" t="s">
        <v>202</v>
      </c>
      <c r="C38" s="39">
        <v>0</v>
      </c>
      <c r="D38" s="39">
        <v>10.084992837970539</v>
      </c>
      <c r="E38" s="39">
        <v>10.420397906710312</v>
      </c>
      <c r="F38" s="39">
        <v>9.9216306527879894</v>
      </c>
      <c r="G38" s="39">
        <v>11.422738666372531</v>
      </c>
      <c r="H38" s="39">
        <v>13.936748679099992</v>
      </c>
      <c r="I38" s="39">
        <v>12.881216417543209</v>
      </c>
      <c r="J38" s="39">
        <v>11.127699178117922</v>
      </c>
      <c r="K38" s="39">
        <v>12.131845823196425</v>
      </c>
      <c r="L38" s="39">
        <v>17.324369471500969</v>
      </c>
      <c r="M38" s="39">
        <v>17.358071516763921</v>
      </c>
      <c r="N38" s="39">
        <v>15.820133616403909</v>
      </c>
      <c r="O38" s="60">
        <v>14.108460615221238</v>
      </c>
      <c r="P38" s="39">
        <v>14.333931687950571</v>
      </c>
      <c r="Q38" s="48">
        <f t="shared" si="20"/>
        <v>2.2102151704084356</v>
      </c>
      <c r="R38" s="49">
        <f t="shared" si="21"/>
        <v>0.22276733006457589</v>
      </c>
      <c r="S38" s="48">
        <f t="shared" si="18"/>
        <v>2.2020858647541459</v>
      </c>
      <c r="T38" s="49">
        <f t="shared" si="19"/>
        <v>0.18151284617742972</v>
      </c>
      <c r="U38" s="48">
        <f t="shared" si="22"/>
        <v>4.4123010351625815</v>
      </c>
      <c r="V38" s="49">
        <f t="shared" si="23"/>
        <v>0.44471530835737372</v>
      </c>
      <c r="W38" s="21"/>
    </row>
    <row r="39" spans="1:23" ht="13.5" customHeight="1" thickBot="1">
      <c r="A39" s="628"/>
      <c r="B39" s="37" t="s">
        <v>211</v>
      </c>
      <c r="C39" s="40">
        <v>0</v>
      </c>
      <c r="D39" s="40">
        <v>3.707938</v>
      </c>
      <c r="E39" s="40">
        <v>3.1637119999999999</v>
      </c>
      <c r="F39" s="40">
        <v>4.1495692246376823</v>
      </c>
      <c r="G39" s="40">
        <v>2.2415088087100101</v>
      </c>
      <c r="H39" s="40">
        <v>-7.6225398692286103E-2</v>
      </c>
      <c r="I39" s="40">
        <v>1.178986932384505</v>
      </c>
      <c r="J39" s="40">
        <v>3.1502350852814414</v>
      </c>
      <c r="K39" s="40">
        <v>2.3649271022497613</v>
      </c>
      <c r="L39" s="40">
        <v>-2.6105508692341015</v>
      </c>
      <c r="M39" s="40">
        <v>-2.4273226198600457</v>
      </c>
      <c r="N39" s="40">
        <v>-0.67454362427383785</v>
      </c>
      <c r="O39" s="61">
        <v>1.2468564055801816</v>
      </c>
      <c r="P39" s="40">
        <v>1.2413184595082802</v>
      </c>
      <c r="Q39" s="31">
        <f t="shared" si="20"/>
        <v>-1.784642122387921</v>
      </c>
      <c r="R39" s="29">
        <f t="shared" si="21"/>
        <v>-0.43007888910293962</v>
      </c>
      <c r="S39" s="31">
        <f t="shared" si="18"/>
        <v>-1.1236086427414811</v>
      </c>
      <c r="T39" s="29">
        <f t="shared" si="19"/>
        <v>-0.47511343655057664</v>
      </c>
      <c r="U39" s="31">
        <f t="shared" si="22"/>
        <v>-2.9082507651294023</v>
      </c>
      <c r="V39" s="29">
        <f t="shared" si="23"/>
        <v>-0.70085606666396438</v>
      </c>
      <c r="W39" s="21"/>
    </row>
    <row r="40" spans="1:23">
      <c r="A40" s="627" t="s">
        <v>212</v>
      </c>
      <c r="B40" s="35" t="s">
        <v>202</v>
      </c>
      <c r="C40" s="39">
        <v>0</v>
      </c>
      <c r="D40" s="39">
        <v>6.0911190000000008</v>
      </c>
      <c r="E40" s="39">
        <v>5.6642549999999998</v>
      </c>
      <c r="F40" s="39">
        <v>5.796945517000001</v>
      </c>
      <c r="G40" s="39">
        <v>5.5170839922809112</v>
      </c>
      <c r="H40" s="39">
        <v>8.0668831453211283</v>
      </c>
      <c r="I40" s="39">
        <v>6.5560624230495277</v>
      </c>
      <c r="J40" s="39">
        <v>5.5346515753278931</v>
      </c>
      <c r="K40" s="39">
        <v>5.7339986274061934</v>
      </c>
      <c r="L40" s="39">
        <v>14.031723306746995</v>
      </c>
      <c r="M40" s="39">
        <v>13.061158068870768</v>
      </c>
      <c r="N40" s="39">
        <v>9.361012704883338</v>
      </c>
      <c r="O40" s="60">
        <v>5.6847175248615764</v>
      </c>
      <c r="P40" s="39">
        <v>5.7008134823531948</v>
      </c>
      <c r="Q40" s="48">
        <f t="shared" si="20"/>
        <v>-6.2946889593807676E-2</v>
      </c>
      <c r="R40" s="49">
        <f t="shared" si="21"/>
        <v>-1.0858630533823537E-2</v>
      </c>
      <c r="S40" s="48">
        <f t="shared" si="18"/>
        <v>-3.3185145052998521E-2</v>
      </c>
      <c r="T40" s="49">
        <f t="shared" si="19"/>
        <v>-5.7874351232640618E-3</v>
      </c>
      <c r="U40" s="48">
        <f t="shared" si="22"/>
        <v>-9.6132034646806197E-2</v>
      </c>
      <c r="V40" s="49">
        <f t="shared" si="23"/>
        <v>-1.65832220373456E-2</v>
      </c>
      <c r="W40" s="21"/>
    </row>
    <row r="41" spans="1:23" ht="13.9" thickBot="1">
      <c r="A41" s="628"/>
      <c r="B41" s="37" t="s">
        <v>203</v>
      </c>
      <c r="C41" s="40">
        <v>0</v>
      </c>
      <c r="D41" s="40">
        <v>-1.5455470000000002</v>
      </c>
      <c r="E41" s="40">
        <v>-1.5946924680851062</v>
      </c>
      <c r="F41" s="40">
        <v>-1.5076825694618319</v>
      </c>
      <c r="G41" s="40">
        <v>-1.429460068419635</v>
      </c>
      <c r="H41" s="40">
        <v>-3.8994941743328262</v>
      </c>
      <c r="I41" s="40">
        <v>-2.2939410736987331</v>
      </c>
      <c r="J41" s="40">
        <v>-1.1481686530560828</v>
      </c>
      <c r="K41" s="40">
        <v>-1.2150648285223933</v>
      </c>
      <c r="L41" s="40">
        <v>-9.3766307437796232</v>
      </c>
      <c r="M41" s="40">
        <v>-8.2610956636807789</v>
      </c>
      <c r="N41" s="40">
        <v>-4.4066306835680571</v>
      </c>
      <c r="O41" s="61">
        <v>-0.57138654860393434</v>
      </c>
      <c r="P41" s="40">
        <v>-0.42376373525150263</v>
      </c>
      <c r="Q41" s="31">
        <f t="shared" si="20"/>
        <v>0.2926177409394386</v>
      </c>
      <c r="R41" s="29">
        <f t="shared" si="21"/>
        <v>-0.19408444911841666</v>
      </c>
      <c r="S41" s="31">
        <f t="shared" si="18"/>
        <v>0.7913010932708906</v>
      </c>
      <c r="T41" s="29">
        <f t="shared" si="19"/>
        <v>-0.65124187178816617</v>
      </c>
      <c r="U41" s="31">
        <f t="shared" si="22"/>
        <v>1.0839188342103292</v>
      </c>
      <c r="V41" s="29">
        <f t="shared" si="23"/>
        <v>-0.71893040097773009</v>
      </c>
      <c r="W41" s="21"/>
    </row>
    <row r="42" spans="1:23">
      <c r="A42" s="627" t="s">
        <v>213</v>
      </c>
      <c r="B42" s="35" t="s">
        <v>202</v>
      </c>
      <c r="C42" s="39">
        <v>27.962558000000001</v>
      </c>
      <c r="D42" s="39">
        <v>28.525561000000003</v>
      </c>
      <c r="E42" s="39">
        <v>30.249157999999998</v>
      </c>
      <c r="F42" s="39">
        <v>28.682337184361028</v>
      </c>
      <c r="G42" s="39">
        <v>27.395721919448231</v>
      </c>
      <c r="H42" s="39">
        <v>32.852008468998818</v>
      </c>
      <c r="I42" s="39">
        <v>37.70412918357124</v>
      </c>
      <c r="J42" s="39">
        <v>34.277250046295869</v>
      </c>
      <c r="K42" s="39">
        <v>35.771768163215107</v>
      </c>
      <c r="L42" s="39">
        <v>40.215254795268244</v>
      </c>
      <c r="M42" s="39">
        <v>41.822473761745449</v>
      </c>
      <c r="N42" s="39">
        <v>43.860039788261815</v>
      </c>
      <c r="O42" s="60">
        <v>41.569727404299933</v>
      </c>
      <c r="P42" s="39">
        <v>43.121363211365079</v>
      </c>
      <c r="Q42" s="48">
        <f t="shared" si="20"/>
        <v>7.0894309788540788</v>
      </c>
      <c r="R42" s="49">
        <f t="shared" si="21"/>
        <v>0.24717061699977411</v>
      </c>
      <c r="S42" s="48">
        <f t="shared" si="18"/>
        <v>7.3495950481499719</v>
      </c>
      <c r="T42" s="49">
        <f t="shared" si="19"/>
        <v>0.20545797497669466</v>
      </c>
      <c r="U42" s="48">
        <f t="shared" si="22"/>
        <v>14.439026027004051</v>
      </c>
      <c r="V42" s="49">
        <f t="shared" si="23"/>
        <v>0.50341176641898255</v>
      </c>
      <c r="W42" s="21"/>
    </row>
    <row r="43" spans="1:23" ht="13.9" thickBot="1">
      <c r="A43" s="628"/>
      <c r="B43" s="37" t="s">
        <v>203</v>
      </c>
      <c r="C43" s="40">
        <v>-1.825</v>
      </c>
      <c r="D43" s="40">
        <v>-0.48558000000000018</v>
      </c>
      <c r="E43" s="40">
        <v>-1.2933669999999997</v>
      </c>
      <c r="F43" s="40">
        <v>-0.95443283199999729</v>
      </c>
      <c r="G43" s="40">
        <v>-0.49987842071405975</v>
      </c>
      <c r="H43" s="40">
        <v>-4.2803886767365737</v>
      </c>
      <c r="I43" s="40">
        <v>-7.3048469286793427</v>
      </c>
      <c r="J43" s="40">
        <v>-1.8296239598489556</v>
      </c>
      <c r="K43" s="40">
        <v>-1.9297812913267109</v>
      </c>
      <c r="L43" s="40">
        <v>-4.8189853324115468</v>
      </c>
      <c r="M43" s="40">
        <v>-4.907205924901719</v>
      </c>
      <c r="N43" s="40">
        <v>-5.733711978858171</v>
      </c>
      <c r="O43" s="61">
        <v>-2.1490710820507664</v>
      </c>
      <c r="P43" s="40">
        <v>-2.204761654704932</v>
      </c>
      <c r="Q43" s="31">
        <f t="shared" si="20"/>
        <v>-0.97534845932671366</v>
      </c>
      <c r="R43" s="29">
        <f t="shared" si="21"/>
        <v>1.0219141951381618</v>
      </c>
      <c r="S43" s="31">
        <f t="shared" si="18"/>
        <v>-0.27498036337822107</v>
      </c>
      <c r="T43" s="29">
        <f t="shared" si="19"/>
        <v>0.14249301960491803</v>
      </c>
      <c r="U43" s="31">
        <f t="shared" si="22"/>
        <v>-1.2503288227049347</v>
      </c>
      <c r="V43" s="29">
        <f t="shared" si="23"/>
        <v>1.310022854185446</v>
      </c>
      <c r="W43" s="21"/>
    </row>
    <row r="44" spans="1:23" ht="13.5" customHeight="1" thickBot="1">
      <c r="A44" s="66" t="s">
        <v>214</v>
      </c>
      <c r="B44" s="37" t="s">
        <v>215</v>
      </c>
      <c r="C44" s="34">
        <v>545.1395348837209</v>
      </c>
      <c r="D44" s="34">
        <v>624.00410750154833</v>
      </c>
      <c r="E44" s="34">
        <v>615.66201765859023</v>
      </c>
      <c r="F44" s="34">
        <v>645.68407351211283</v>
      </c>
      <c r="G44" s="34">
        <v>648.84270249470342</v>
      </c>
      <c r="H44" s="34">
        <v>686.34318624444802</v>
      </c>
      <c r="I44" s="34">
        <v>723.60003177876717</v>
      </c>
      <c r="J44" s="34">
        <v>714.55040685379674</v>
      </c>
      <c r="K44" s="34">
        <v>746.49425538650496</v>
      </c>
      <c r="L44" s="34">
        <v>829.74412920743941</v>
      </c>
      <c r="M44" s="34">
        <v>868.82130057289794</v>
      </c>
      <c r="N44" s="34">
        <v>916.64458210265593</v>
      </c>
      <c r="O44" s="57">
        <v>867.06329989998937</v>
      </c>
      <c r="P44" s="40">
        <v>891.07837901074765</v>
      </c>
      <c r="Q44" s="28">
        <f t="shared" si="20"/>
        <v>100.81018187439213</v>
      </c>
      <c r="R44" s="29">
        <f t="shared" si="21"/>
        <v>0.15612926818226833</v>
      </c>
      <c r="S44" s="28">
        <f t="shared" si="18"/>
        <v>144.58412362424269</v>
      </c>
      <c r="T44" s="29">
        <f t="shared" si="19"/>
        <v>0.19368417450095821</v>
      </c>
      <c r="U44" s="28">
        <f t="shared" si="22"/>
        <v>245.39430549863482</v>
      </c>
      <c r="V44" s="29">
        <f t="shared" si="23"/>
        <v>0.38005321110654794</v>
      </c>
      <c r="W44" s="21"/>
    </row>
    <row r="45" spans="1:23" ht="14.45" hidden="1">
      <c r="A45" s="686"/>
      <c r="B45" s="686"/>
      <c r="C45" s="18"/>
      <c r="D45" s="18"/>
      <c r="E45" s="18"/>
      <c r="F45" s="18"/>
      <c r="G45" s="18"/>
      <c r="H45" s="18"/>
      <c r="I45" s="18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18"/>
      <c r="V45" s="18"/>
      <c r="W45" s="21"/>
    </row>
    <row r="46" spans="1:23" ht="13.9" hidden="1" thickBot="1">
      <c r="A46" s="687" t="s">
        <v>216</v>
      </c>
      <c r="B46" s="687"/>
      <c r="C46" s="14"/>
      <c r="D46" s="14"/>
      <c r="E46" s="14"/>
      <c r="F46" s="14">
        <f>SUM(F47:F50)</f>
        <v>141.1</v>
      </c>
      <c r="G46" s="14"/>
      <c r="H46" s="14"/>
      <c r="I46" s="14"/>
      <c r="J46" s="14"/>
      <c r="K46" s="14">
        <f>SUM(K47:K50)</f>
        <v>171.1</v>
      </c>
      <c r="L46" s="14"/>
      <c r="M46" s="14"/>
      <c r="N46" s="14"/>
      <c r="O46" s="14"/>
      <c r="P46" s="14"/>
      <c r="Q46" s="14"/>
      <c r="R46" s="14"/>
      <c r="S46" s="14"/>
      <c r="T46" s="14"/>
      <c r="U46" s="14" t="e">
        <f>K46-#REF!</f>
        <v>#REF!</v>
      </c>
      <c r="V46" s="15" t="e">
        <f>U46/#REF!</f>
        <v>#REF!</v>
      </c>
      <c r="W46" s="21"/>
    </row>
    <row r="47" spans="1:23" ht="13.9" hidden="1" thickBot="1">
      <c r="A47" s="688" t="s">
        <v>217</v>
      </c>
      <c r="B47" s="688"/>
      <c r="C47" s="70"/>
      <c r="D47" s="70"/>
      <c r="E47" s="70"/>
      <c r="F47" s="70">
        <v>94.3</v>
      </c>
      <c r="G47" s="70"/>
      <c r="H47" s="70"/>
      <c r="I47" s="70"/>
      <c r="J47" s="71"/>
      <c r="K47" s="71">
        <v>115.1</v>
      </c>
      <c r="L47" s="71"/>
      <c r="M47" s="71"/>
      <c r="N47" s="71"/>
      <c r="O47" s="71"/>
      <c r="P47" s="71"/>
      <c r="Q47" s="71"/>
      <c r="R47" s="71"/>
      <c r="S47" s="71"/>
      <c r="T47" s="71"/>
      <c r="U47" s="17" t="e">
        <f>K47-#REF!</f>
        <v>#REF!</v>
      </c>
      <c r="V47" s="16" t="e">
        <f>U47/#REF!</f>
        <v>#REF!</v>
      </c>
      <c r="W47" s="21"/>
    </row>
    <row r="48" spans="1:23" ht="13.9" hidden="1" thickBot="1">
      <c r="A48" s="688" t="s">
        <v>80</v>
      </c>
      <c r="B48" s="688"/>
      <c r="C48" s="70"/>
      <c r="D48" s="70"/>
      <c r="E48" s="70"/>
      <c r="F48" s="70">
        <v>2</v>
      </c>
      <c r="G48" s="70"/>
      <c r="H48" s="70"/>
      <c r="I48" s="70"/>
      <c r="J48" s="71"/>
      <c r="K48" s="71">
        <v>3.4</v>
      </c>
      <c r="L48" s="71"/>
      <c r="M48" s="71"/>
      <c r="N48" s="71"/>
      <c r="O48" s="71"/>
      <c r="P48" s="71"/>
      <c r="Q48" s="71"/>
      <c r="R48" s="71"/>
      <c r="S48" s="71"/>
      <c r="T48" s="71"/>
      <c r="U48" s="17" t="e">
        <f>K48-#REF!</f>
        <v>#REF!</v>
      </c>
      <c r="V48" s="16" t="e">
        <f>U48/#REF!</f>
        <v>#REF!</v>
      </c>
      <c r="W48" s="21"/>
    </row>
    <row r="49" spans="1:24" ht="13.9" hidden="1" thickBot="1">
      <c r="A49" s="688" t="s">
        <v>218</v>
      </c>
      <c r="B49" s="688"/>
      <c r="C49" s="70"/>
      <c r="D49" s="70"/>
      <c r="E49" s="70"/>
      <c r="F49" s="70">
        <v>25.5</v>
      </c>
      <c r="G49" s="70"/>
      <c r="H49" s="70"/>
      <c r="I49" s="70"/>
      <c r="J49" s="71"/>
      <c r="K49" s="71">
        <v>25.5</v>
      </c>
      <c r="L49" s="71"/>
      <c r="M49" s="71"/>
      <c r="N49" s="71"/>
      <c r="O49" s="71"/>
      <c r="P49" s="71"/>
      <c r="Q49" s="71"/>
      <c r="R49" s="71"/>
      <c r="S49" s="71"/>
      <c r="T49" s="71"/>
      <c r="U49" s="17" t="e">
        <f>K49-#REF!</f>
        <v>#REF!</v>
      </c>
      <c r="V49" s="16" t="e">
        <f>U49/#REF!</f>
        <v>#REF!</v>
      </c>
      <c r="W49" s="21"/>
    </row>
    <row r="50" spans="1:24" ht="13.9" hidden="1" thickBot="1">
      <c r="A50" s="688" t="s">
        <v>219</v>
      </c>
      <c r="B50" s="688"/>
      <c r="C50" s="70"/>
      <c r="D50" s="70"/>
      <c r="E50" s="70"/>
      <c r="F50" s="70">
        <v>19.3</v>
      </c>
      <c r="G50" s="70"/>
      <c r="H50" s="70"/>
      <c r="I50" s="70"/>
      <c r="J50" s="71"/>
      <c r="K50" s="71">
        <v>27.1</v>
      </c>
      <c r="L50" s="71"/>
      <c r="M50" s="71"/>
      <c r="N50" s="71"/>
      <c r="O50" s="71"/>
      <c r="P50" s="71"/>
      <c r="Q50" s="71"/>
      <c r="R50" s="71"/>
      <c r="S50" s="71"/>
      <c r="T50" s="71"/>
      <c r="U50" s="17" t="e">
        <f>K50-#REF!</f>
        <v>#REF!</v>
      </c>
      <c r="V50" s="16" t="e">
        <f>U50/#REF!</f>
        <v>#REF!</v>
      </c>
      <c r="W50" s="21"/>
    </row>
    <row r="51" spans="1:24" ht="15" hidden="1" thickBot="1">
      <c r="A51" s="689" t="s">
        <v>220</v>
      </c>
      <c r="B51" s="689"/>
      <c r="C51" s="19"/>
      <c r="D51" s="19"/>
      <c r="E51" s="19"/>
      <c r="F51" s="19"/>
      <c r="G51" s="19"/>
      <c r="H51" s="19"/>
      <c r="I51" s="19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19"/>
      <c r="V51" s="19"/>
      <c r="W51" s="21"/>
    </row>
    <row r="52" spans="1:24" ht="13.9" hidden="1" thickBot="1">
      <c r="A52" s="690" t="s">
        <v>221</v>
      </c>
      <c r="B52" s="690"/>
      <c r="C52" s="73"/>
      <c r="D52" s="73"/>
      <c r="E52" s="74"/>
      <c r="F52" s="74" t="s">
        <v>222</v>
      </c>
      <c r="G52" s="74"/>
      <c r="H52" s="74"/>
      <c r="I52" s="74"/>
      <c r="J52" s="75"/>
      <c r="K52" s="75">
        <v>143671</v>
      </c>
      <c r="L52" s="75"/>
      <c r="M52" s="75"/>
      <c r="N52" s="75"/>
      <c r="O52" s="75"/>
      <c r="P52" s="75"/>
      <c r="Q52" s="75"/>
      <c r="R52" s="75"/>
      <c r="S52" s="75"/>
      <c r="T52" s="75"/>
      <c r="U52" s="76" t="e">
        <f>K52-#REF!</f>
        <v>#REF!</v>
      </c>
      <c r="V52" s="77" t="e">
        <f>U52/#REF!</f>
        <v>#REF!</v>
      </c>
      <c r="W52" s="21"/>
    </row>
    <row r="53" spans="1:24" ht="13.9" hidden="1" thickBot="1">
      <c r="A53" s="690" t="s">
        <v>223</v>
      </c>
      <c r="B53" s="690"/>
      <c r="C53" s="73"/>
      <c r="D53" s="73"/>
      <c r="E53" s="74"/>
      <c r="F53" s="74" t="s">
        <v>224</v>
      </c>
      <c r="G53" s="74"/>
      <c r="H53" s="74"/>
      <c r="I53" s="74"/>
      <c r="J53" s="75"/>
      <c r="K53" s="75">
        <v>291370</v>
      </c>
      <c r="L53" s="75"/>
      <c r="M53" s="75"/>
      <c r="N53" s="75"/>
      <c r="O53" s="75"/>
      <c r="P53" s="75"/>
      <c r="Q53" s="75"/>
      <c r="R53" s="75"/>
      <c r="S53" s="75"/>
      <c r="T53" s="75"/>
      <c r="U53" s="76" t="e">
        <f>K53-#REF!</f>
        <v>#REF!</v>
      </c>
      <c r="V53" s="77" t="e">
        <f>U53/#REF!</f>
        <v>#REF!</v>
      </c>
      <c r="W53" s="21"/>
    </row>
    <row r="54" spans="1:24" ht="14.45" hidden="1">
      <c r="A54" s="686"/>
      <c r="B54" s="686"/>
      <c r="C54" s="78"/>
      <c r="D54" s="78"/>
      <c r="E54" s="78"/>
      <c r="F54" s="78"/>
      <c r="G54" s="78"/>
      <c r="H54" s="78"/>
      <c r="I54" s="78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18"/>
      <c r="V54" s="18"/>
      <c r="W54" s="21"/>
    </row>
    <row r="55" spans="1:24" ht="13.9" hidden="1" thickBot="1">
      <c r="A55" s="687" t="s">
        <v>225</v>
      </c>
      <c r="B55" s="687"/>
      <c r="C55" s="80"/>
      <c r="D55" s="80"/>
      <c r="E55" s="80"/>
      <c r="F55" s="80">
        <v>9746</v>
      </c>
      <c r="G55" s="80"/>
      <c r="H55" s="80"/>
      <c r="I55" s="80"/>
      <c r="J55" s="81"/>
      <c r="K55" s="81">
        <v>9745</v>
      </c>
      <c r="L55" s="81"/>
      <c r="M55" s="81"/>
      <c r="N55" s="81"/>
      <c r="O55" s="81"/>
      <c r="P55" s="81"/>
      <c r="Q55" s="81"/>
      <c r="R55" s="81"/>
      <c r="S55" s="81"/>
      <c r="T55" s="81"/>
      <c r="U55" s="20" t="e">
        <f>K55-#REF!</f>
        <v>#REF!</v>
      </c>
      <c r="V55" s="15" t="e">
        <f>U55/#REF!</f>
        <v>#REF!</v>
      </c>
      <c r="W55" s="21"/>
    </row>
    <row r="56" spans="1:24" hidden="1">
      <c r="A56" s="22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</row>
    <row r="57" spans="1:24">
      <c r="A57" s="624" t="s">
        <v>226</v>
      </c>
      <c r="B57" s="624"/>
      <c r="C57" s="624"/>
      <c r="D57" s="624"/>
      <c r="E57" s="624"/>
      <c r="F57" s="624"/>
      <c r="G57" s="624"/>
      <c r="H57" s="624"/>
      <c r="I57" s="624"/>
      <c r="J57" s="624"/>
      <c r="K57" s="624"/>
      <c r="L57" s="624"/>
      <c r="M57" s="624"/>
      <c r="N57" s="624"/>
      <c r="O57" s="624"/>
      <c r="P57" s="624"/>
      <c r="Q57" s="624"/>
      <c r="R57" s="624"/>
      <c r="S57" s="624"/>
      <c r="T57" s="624"/>
      <c r="U57" s="624"/>
      <c r="V57" s="624"/>
      <c r="W57" s="624"/>
      <c r="X57" s="21"/>
    </row>
    <row r="58" spans="1:24">
      <c r="A58" s="624" t="s">
        <v>227</v>
      </c>
      <c r="B58" s="624"/>
      <c r="C58" s="624"/>
      <c r="D58" s="624"/>
      <c r="E58" s="624"/>
      <c r="F58" s="624"/>
      <c r="G58" s="624"/>
      <c r="H58" s="624"/>
      <c r="I58" s="624"/>
      <c r="J58" s="624"/>
      <c r="K58" s="624"/>
      <c r="L58" s="624"/>
      <c r="M58" s="624"/>
      <c r="N58" s="624"/>
      <c r="O58" s="624"/>
      <c r="P58" s="624"/>
      <c r="Q58" s="624"/>
      <c r="R58" s="624"/>
      <c r="S58" s="624"/>
      <c r="T58" s="624"/>
      <c r="U58" s="624"/>
      <c r="V58" s="624"/>
      <c r="W58" s="624"/>
      <c r="X58" s="21"/>
    </row>
    <row r="59" spans="1:24">
      <c r="A59" s="624" t="s">
        <v>228</v>
      </c>
      <c r="B59" s="624"/>
      <c r="C59" s="624"/>
      <c r="D59" s="624"/>
      <c r="E59" s="624"/>
      <c r="F59" s="624"/>
      <c r="G59" s="624"/>
      <c r="H59" s="624"/>
      <c r="I59" s="624"/>
      <c r="J59" s="624"/>
      <c r="K59" s="624"/>
      <c r="L59" s="624"/>
      <c r="M59" s="624"/>
      <c r="N59" s="624"/>
      <c r="O59" s="624"/>
      <c r="P59" s="624"/>
      <c r="Q59" s="624"/>
      <c r="R59" s="624"/>
      <c r="S59" s="624"/>
      <c r="T59" s="624"/>
      <c r="U59" s="624"/>
      <c r="V59" s="624"/>
      <c r="W59" s="624"/>
      <c r="X59" s="21"/>
    </row>
    <row r="60" spans="1:24">
      <c r="A60" s="624" t="s">
        <v>229</v>
      </c>
      <c r="B60" s="624"/>
      <c r="C60" s="624"/>
      <c r="D60" s="624"/>
      <c r="E60" s="624"/>
      <c r="F60" s="624"/>
      <c r="G60" s="624"/>
      <c r="H60" s="624"/>
      <c r="I60" s="624"/>
      <c r="J60" s="624"/>
      <c r="K60" s="624"/>
      <c r="L60" s="624"/>
      <c r="M60" s="624"/>
      <c r="N60" s="624"/>
      <c r="O60" s="624"/>
      <c r="P60" s="624"/>
      <c r="Q60" s="624"/>
      <c r="R60" s="624"/>
      <c r="S60" s="624"/>
      <c r="T60" s="624"/>
      <c r="U60" s="624"/>
      <c r="V60" s="624"/>
      <c r="W60" s="624"/>
      <c r="X60" s="21"/>
    </row>
    <row r="61" spans="1:24">
      <c r="A61" s="624" t="s">
        <v>230</v>
      </c>
      <c r="B61" s="624"/>
      <c r="C61" s="624"/>
      <c r="D61" s="624"/>
      <c r="E61" s="624"/>
      <c r="F61" s="624"/>
      <c r="G61" s="624"/>
      <c r="H61" s="624"/>
      <c r="I61" s="624"/>
      <c r="J61" s="624"/>
      <c r="K61" s="624"/>
      <c r="L61" s="624"/>
      <c r="M61" s="624"/>
      <c r="N61" s="624"/>
      <c r="O61" s="624"/>
      <c r="P61" s="624"/>
      <c r="Q61" s="624"/>
      <c r="R61" s="624"/>
      <c r="S61" s="624"/>
      <c r="T61" s="624"/>
      <c r="U61" s="624"/>
      <c r="V61" s="624"/>
      <c r="W61" s="624"/>
      <c r="X61" s="21"/>
    </row>
    <row r="62" spans="1:24">
      <c r="A62" s="624" t="s">
        <v>231</v>
      </c>
      <c r="B62" s="624"/>
      <c r="C62" s="624"/>
      <c r="D62" s="624"/>
      <c r="E62" s="624"/>
      <c r="F62" s="624"/>
      <c r="G62" s="624"/>
      <c r="H62" s="624"/>
      <c r="I62" s="624"/>
      <c r="J62" s="624"/>
      <c r="K62" s="624"/>
      <c r="L62" s="624"/>
      <c r="M62" s="624"/>
      <c r="N62" s="624"/>
      <c r="O62" s="624"/>
      <c r="P62" s="624"/>
      <c r="Q62" s="624"/>
      <c r="R62" s="624"/>
      <c r="S62" s="624"/>
      <c r="T62" s="624"/>
      <c r="U62" s="624"/>
      <c r="V62" s="624"/>
      <c r="W62" s="624"/>
      <c r="X62" s="21"/>
    </row>
    <row r="63" spans="1:24">
      <c r="A63" s="624" t="s">
        <v>232</v>
      </c>
      <c r="B63" s="624"/>
      <c r="C63" s="624"/>
      <c r="D63" s="624"/>
      <c r="E63" s="624"/>
      <c r="F63" s="624"/>
      <c r="G63" s="624"/>
      <c r="H63" s="624"/>
      <c r="I63" s="624"/>
      <c r="J63" s="624"/>
      <c r="K63" s="624"/>
      <c r="L63" s="624"/>
      <c r="M63" s="624"/>
      <c r="N63" s="624"/>
      <c r="O63" s="624"/>
      <c r="P63" s="624"/>
      <c r="Q63" s="624"/>
      <c r="R63" s="624"/>
      <c r="S63" s="624"/>
      <c r="T63" s="624"/>
      <c r="U63" s="624"/>
      <c r="V63" s="624"/>
      <c r="W63" s="624"/>
      <c r="X63" s="21"/>
    </row>
    <row r="64" spans="1:24">
      <c r="A64" s="624" t="s">
        <v>233</v>
      </c>
      <c r="B64" s="624"/>
      <c r="C64" s="624"/>
      <c r="D64" s="624"/>
      <c r="E64" s="624"/>
      <c r="F64" s="624"/>
      <c r="G64" s="624"/>
      <c r="H64" s="624"/>
      <c r="I64" s="624"/>
      <c r="J64" s="624"/>
      <c r="K64" s="624"/>
      <c r="L64" s="624"/>
      <c r="M64" s="624"/>
      <c r="N64" s="624"/>
      <c r="O64" s="624"/>
      <c r="P64" s="624"/>
      <c r="Q64" s="624"/>
      <c r="R64" s="624"/>
      <c r="S64" s="624"/>
      <c r="T64" s="624"/>
      <c r="U64" s="624"/>
      <c r="V64" s="624"/>
      <c r="W64" s="624"/>
      <c r="X64" s="21"/>
    </row>
    <row r="65" spans="1:24">
      <c r="A65" s="624" t="s">
        <v>234</v>
      </c>
      <c r="B65" s="624"/>
      <c r="C65" s="624"/>
      <c r="D65" s="624"/>
      <c r="E65" s="624"/>
      <c r="F65" s="624"/>
      <c r="G65" s="624"/>
      <c r="H65" s="624"/>
      <c r="I65" s="624"/>
      <c r="J65" s="624"/>
      <c r="K65" s="624"/>
      <c r="L65" s="624"/>
      <c r="M65" s="624"/>
      <c r="N65" s="624"/>
      <c r="O65" s="624"/>
      <c r="P65" s="624"/>
      <c r="Q65" s="624"/>
      <c r="R65" s="624"/>
      <c r="S65" s="624"/>
      <c r="T65" s="624"/>
      <c r="U65" s="624"/>
      <c r="V65" s="624"/>
      <c r="W65" s="624"/>
      <c r="X65" s="21"/>
    </row>
    <row r="66" spans="1:24">
      <c r="A66" s="624" t="s">
        <v>235</v>
      </c>
      <c r="B66" s="624"/>
      <c r="C66" s="624"/>
      <c r="D66" s="624"/>
      <c r="E66" s="624"/>
      <c r="F66" s="624"/>
      <c r="G66" s="624"/>
      <c r="H66" s="624"/>
      <c r="I66" s="624"/>
      <c r="J66" s="624"/>
      <c r="K66" s="624"/>
      <c r="L66" s="624"/>
      <c r="M66" s="624"/>
      <c r="N66" s="624"/>
      <c r="O66" s="624"/>
      <c r="P66" s="624"/>
      <c r="Q66" s="624"/>
      <c r="R66" s="624"/>
      <c r="S66" s="624"/>
      <c r="T66" s="624"/>
      <c r="U66" s="624"/>
      <c r="V66" s="624"/>
      <c r="W66" s="624"/>
      <c r="X66" s="21"/>
    </row>
    <row r="67" spans="1:24" ht="13.9">
      <c r="A67" s="5"/>
      <c r="B67" s="1"/>
      <c r="X67" s="1"/>
    </row>
    <row r="68" spans="1:24" ht="14.45">
      <c r="A68" s="6"/>
      <c r="B68" s="1"/>
      <c r="X68" s="1"/>
    </row>
    <row r="69" spans="1:24">
      <c r="A69" s="8" t="s">
        <v>236</v>
      </c>
      <c r="B69" s="4"/>
      <c r="X69" s="4"/>
    </row>
    <row r="70" spans="1:24">
      <c r="A70" s="625"/>
      <c r="B70" s="82" t="s">
        <v>237</v>
      </c>
      <c r="C70" s="83"/>
      <c r="D70" s="83"/>
      <c r="E70" s="83"/>
      <c r="X70" s="4"/>
    </row>
    <row r="71" spans="1:24" ht="13.9" thickBot="1">
      <c r="A71" s="626"/>
      <c r="B71" s="63" t="s">
        <v>238</v>
      </c>
      <c r="C71" s="83"/>
      <c r="D71" s="83"/>
      <c r="E71" s="83"/>
      <c r="X71" s="4"/>
    </row>
    <row r="72" spans="1:24">
      <c r="A72" s="84" t="s">
        <v>239</v>
      </c>
      <c r="B72" s="82">
        <v>236</v>
      </c>
      <c r="C72" s="85"/>
      <c r="D72" s="85"/>
      <c r="E72" s="85"/>
      <c r="X72" s="4"/>
    </row>
    <row r="73" spans="1:24">
      <c r="A73" s="86" t="s">
        <v>240</v>
      </c>
      <c r="B73" s="87">
        <v>190</v>
      </c>
      <c r="C73" s="88"/>
      <c r="D73" s="88"/>
      <c r="E73" s="88"/>
      <c r="X73" s="4"/>
    </row>
    <row r="74" spans="1:24" ht="13.9" thickBot="1">
      <c r="A74" s="86" t="s">
        <v>241</v>
      </c>
      <c r="B74" s="87">
        <v>46</v>
      </c>
      <c r="C74" s="88"/>
      <c r="D74" s="88"/>
      <c r="E74" s="88"/>
      <c r="X74" s="4"/>
    </row>
    <row r="75" spans="1:24">
      <c r="A75" s="89" t="s">
        <v>242</v>
      </c>
      <c r="B75" s="90">
        <v>710</v>
      </c>
      <c r="C75" s="85"/>
      <c r="D75" s="85"/>
      <c r="E75" s="85"/>
      <c r="X75" s="4"/>
    </row>
    <row r="76" spans="1:24" ht="21">
      <c r="A76" s="86" t="s">
        <v>243</v>
      </c>
      <c r="B76" s="87">
        <v>528</v>
      </c>
      <c r="C76" s="88"/>
      <c r="D76" s="88"/>
      <c r="E76" s="88"/>
      <c r="X76" s="4"/>
    </row>
    <row r="77" spans="1:24">
      <c r="A77" s="86" t="s">
        <v>244</v>
      </c>
      <c r="B77" s="87">
        <v>173</v>
      </c>
      <c r="C77" s="88"/>
      <c r="D77" s="88"/>
      <c r="E77" s="88"/>
      <c r="X77" s="4"/>
    </row>
    <row r="78" spans="1:24">
      <c r="A78" s="10" t="s">
        <v>245</v>
      </c>
      <c r="B78" s="11" t="s">
        <v>246</v>
      </c>
      <c r="C78" s="12"/>
      <c r="D78" s="12"/>
      <c r="E78" s="12"/>
      <c r="X78" s="4"/>
    </row>
    <row r="79" spans="1:24">
      <c r="A79" s="10" t="s">
        <v>247</v>
      </c>
      <c r="B79" s="11" t="s">
        <v>248</v>
      </c>
      <c r="C79" s="12"/>
      <c r="D79" s="12"/>
      <c r="E79" s="12"/>
      <c r="X79" s="4"/>
    </row>
    <row r="80" spans="1:24" ht="13.9" thickBot="1">
      <c r="A80" s="91" t="s">
        <v>249</v>
      </c>
      <c r="B80" s="92">
        <v>9</v>
      </c>
      <c r="C80" s="88"/>
      <c r="D80" s="88"/>
      <c r="E80" s="88"/>
      <c r="X80" s="4"/>
    </row>
    <row r="81" spans="1:24">
      <c r="A81" s="84" t="s">
        <v>250</v>
      </c>
      <c r="B81" s="82">
        <v>123</v>
      </c>
      <c r="C81" s="85"/>
      <c r="D81" s="85"/>
      <c r="E81" s="85"/>
      <c r="X81" s="4"/>
    </row>
    <row r="82" spans="1:24">
      <c r="A82" s="86" t="s">
        <v>251</v>
      </c>
      <c r="B82" s="87">
        <v>114</v>
      </c>
      <c r="C82" s="88"/>
      <c r="D82" s="88"/>
      <c r="E82" s="88"/>
      <c r="X82" s="4"/>
    </row>
    <row r="83" spans="1:24">
      <c r="A83" s="86" t="s">
        <v>252</v>
      </c>
      <c r="B83" s="87">
        <v>8.5</v>
      </c>
      <c r="C83" s="88"/>
      <c r="D83" s="88"/>
      <c r="E83" s="88"/>
      <c r="X83" s="4"/>
    </row>
    <row r="84" spans="1:24" ht="13.9" thickBot="1">
      <c r="A84" s="86" t="s">
        <v>253</v>
      </c>
      <c r="B84" s="87">
        <v>0.2</v>
      </c>
      <c r="C84" s="88"/>
      <c r="D84" s="88"/>
      <c r="E84" s="88"/>
      <c r="X84" s="4"/>
    </row>
    <row r="85" spans="1:24" ht="13.9" thickBot="1">
      <c r="A85" s="93" t="s">
        <v>254</v>
      </c>
      <c r="B85" s="94">
        <v>1069</v>
      </c>
      <c r="C85" s="85"/>
      <c r="D85" s="85"/>
      <c r="E85" s="85"/>
      <c r="X85" s="4"/>
    </row>
    <row r="86" spans="1:24">
      <c r="A86" s="9"/>
      <c r="B86" s="4"/>
      <c r="X86" s="4"/>
    </row>
    <row r="87" spans="1:24">
      <c r="A87" s="623" t="s">
        <v>255</v>
      </c>
      <c r="B87" s="623"/>
      <c r="C87" s="13"/>
      <c r="D87" s="13"/>
      <c r="E87" s="13"/>
      <c r="X87" s="1"/>
    </row>
    <row r="88" spans="1:24">
      <c r="A88" s="623" t="s">
        <v>256</v>
      </c>
      <c r="B88" s="623"/>
      <c r="C88" s="13"/>
      <c r="D88" s="13"/>
      <c r="E88" s="13"/>
      <c r="X88" s="1"/>
    </row>
    <row r="89" spans="1:24">
      <c r="A89" s="623" t="s">
        <v>257</v>
      </c>
      <c r="B89" s="623"/>
      <c r="C89" s="13"/>
      <c r="D89" s="13"/>
      <c r="E89" s="13"/>
      <c r="X89" s="1"/>
    </row>
    <row r="90" spans="1:24">
      <c r="A90" s="7"/>
      <c r="B90" s="1"/>
      <c r="X90" s="1"/>
    </row>
    <row r="93" spans="1:24" ht="21">
      <c r="B93" s="23"/>
    </row>
  </sheetData>
  <mergeCells count="78">
    <mergeCell ref="G1:G2"/>
    <mergeCell ref="A1:B2"/>
    <mergeCell ref="C1:C2"/>
    <mergeCell ref="D1:D2"/>
    <mergeCell ref="E1:E2"/>
    <mergeCell ref="F1:F2"/>
    <mergeCell ref="U1:V1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Q1:R1"/>
    <mergeCell ref="S1:T1"/>
    <mergeCell ref="U11:V11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Q11:R11"/>
    <mergeCell ref="S11:T11"/>
    <mergeCell ref="A24:B24"/>
    <mergeCell ref="A12:B12"/>
    <mergeCell ref="A13:B13"/>
    <mergeCell ref="A14:B14"/>
    <mergeCell ref="A15:B15"/>
    <mergeCell ref="A17:B17"/>
    <mergeCell ref="A18:B18"/>
    <mergeCell ref="A19:B19"/>
    <mergeCell ref="A20:B20"/>
    <mergeCell ref="A21:B21"/>
    <mergeCell ref="A22:B22"/>
    <mergeCell ref="A23:B23"/>
    <mergeCell ref="A45:B45"/>
    <mergeCell ref="A25:B25"/>
    <mergeCell ref="A26:B26"/>
    <mergeCell ref="A27:B27"/>
    <mergeCell ref="A28:A29"/>
    <mergeCell ref="A30:A31"/>
    <mergeCell ref="A32:A33"/>
    <mergeCell ref="A34:A35"/>
    <mergeCell ref="A36:A37"/>
    <mergeCell ref="A38:A39"/>
    <mergeCell ref="A40:A41"/>
    <mergeCell ref="A42:A43"/>
    <mergeCell ref="A58:W58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7:W57"/>
    <mergeCell ref="A89:B89"/>
    <mergeCell ref="A59:W59"/>
    <mergeCell ref="A60:W60"/>
    <mergeCell ref="A61:W61"/>
    <mergeCell ref="A62:W62"/>
    <mergeCell ref="A63:W63"/>
    <mergeCell ref="A64:W64"/>
    <mergeCell ref="A65:W65"/>
    <mergeCell ref="A66:W66"/>
    <mergeCell ref="A70:A71"/>
    <mergeCell ref="A87:B87"/>
    <mergeCell ref="A88:B88"/>
  </mergeCells>
  <pageMargins left="0.51181102362204722" right="0.51181102362204722" top="0.78740157480314965" bottom="0.78740157480314965" header="0.31496062992125984" footer="0.31496062992125984"/>
  <pageSetup paperSize="9" scale="9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P60"/>
  <sheetViews>
    <sheetView topLeftCell="P1" zoomScaleNormal="100" workbookViewId="0">
      <selection activeCell="AB18" sqref="AB18"/>
    </sheetView>
  </sheetViews>
  <sheetFormatPr defaultRowHeight="13.15"/>
  <cols>
    <col min="1" max="1" width="28.5703125" hidden="1" customWidth="1"/>
    <col min="2" max="2" width="7" hidden="1" customWidth="1"/>
    <col min="3" max="3" width="8.28515625" hidden="1" customWidth="1"/>
    <col min="4" max="4" width="7" hidden="1" customWidth="1"/>
    <col min="5" max="5" width="7.5703125" hidden="1" customWidth="1"/>
    <col min="6" max="7" width="7" hidden="1" customWidth="1"/>
    <col min="8" max="8" width="7.5703125" hidden="1" customWidth="1"/>
    <col min="9" max="9" width="7" hidden="1" customWidth="1"/>
    <col min="10" max="10" width="7.85546875" hidden="1" customWidth="1"/>
    <col min="11" max="15" width="7" hidden="1" customWidth="1"/>
    <col min="16" max="16" width="17.85546875" bestFit="1" customWidth="1"/>
    <col min="17" max="17" width="35.85546875" customWidth="1"/>
    <col min="18" max="18" width="6.7109375" hidden="1" customWidth="1"/>
    <col min="19" max="19" width="8.140625" hidden="1" customWidth="1"/>
    <col min="20" max="20" width="6.85546875" hidden="1" customWidth="1"/>
    <col min="21" max="21" width="7.7109375" hidden="1" customWidth="1"/>
    <col min="22" max="27" width="6.85546875" customWidth="1"/>
    <col min="28" max="28" width="7.7109375" customWidth="1"/>
    <col min="29" max="29" width="6.85546875" customWidth="1"/>
    <col min="31" max="31" width="12.85546875" bestFit="1" customWidth="1"/>
    <col min="33" max="36" width="0" hidden="1" customWidth="1"/>
    <col min="38" max="40" width="0" hidden="1" customWidth="1"/>
    <col min="257" max="271" width="0" hidden="1" customWidth="1"/>
    <col min="273" max="273" width="35.85546875" customWidth="1"/>
    <col min="274" max="277" width="0" hidden="1" customWidth="1"/>
    <col min="278" max="283" width="6.85546875" customWidth="1"/>
    <col min="284" max="284" width="7.7109375" customWidth="1"/>
    <col min="285" max="285" width="6.85546875" customWidth="1"/>
    <col min="513" max="527" width="0" hidden="1" customWidth="1"/>
    <col min="529" max="529" width="35.85546875" customWidth="1"/>
    <col min="530" max="533" width="0" hidden="1" customWidth="1"/>
    <col min="534" max="539" width="6.85546875" customWidth="1"/>
    <col min="540" max="540" width="7.7109375" customWidth="1"/>
    <col min="541" max="541" width="6.85546875" customWidth="1"/>
    <col min="769" max="783" width="0" hidden="1" customWidth="1"/>
    <col min="785" max="785" width="35.85546875" customWidth="1"/>
    <col min="786" max="789" width="0" hidden="1" customWidth="1"/>
    <col min="790" max="795" width="6.85546875" customWidth="1"/>
    <col min="796" max="796" width="7.7109375" customWidth="1"/>
    <col min="797" max="797" width="6.85546875" customWidth="1"/>
    <col min="1025" max="1039" width="0" hidden="1" customWidth="1"/>
    <col min="1041" max="1041" width="35.85546875" customWidth="1"/>
    <col min="1042" max="1045" width="0" hidden="1" customWidth="1"/>
    <col min="1046" max="1051" width="6.85546875" customWidth="1"/>
    <col min="1052" max="1052" width="7.7109375" customWidth="1"/>
    <col min="1053" max="1053" width="6.85546875" customWidth="1"/>
    <col min="1281" max="1295" width="0" hidden="1" customWidth="1"/>
    <col min="1297" max="1297" width="35.85546875" customWidth="1"/>
    <col min="1298" max="1301" width="0" hidden="1" customWidth="1"/>
    <col min="1302" max="1307" width="6.85546875" customWidth="1"/>
    <col min="1308" max="1308" width="7.7109375" customWidth="1"/>
    <col min="1309" max="1309" width="6.85546875" customWidth="1"/>
    <col min="1537" max="1551" width="0" hidden="1" customWidth="1"/>
    <col min="1553" max="1553" width="35.85546875" customWidth="1"/>
    <col min="1554" max="1557" width="0" hidden="1" customWidth="1"/>
    <col min="1558" max="1563" width="6.85546875" customWidth="1"/>
    <col min="1564" max="1564" width="7.7109375" customWidth="1"/>
    <col min="1565" max="1565" width="6.85546875" customWidth="1"/>
    <col min="1793" max="1807" width="0" hidden="1" customWidth="1"/>
    <col min="1809" max="1809" width="35.85546875" customWidth="1"/>
    <col min="1810" max="1813" width="0" hidden="1" customWidth="1"/>
    <col min="1814" max="1819" width="6.85546875" customWidth="1"/>
    <col min="1820" max="1820" width="7.7109375" customWidth="1"/>
    <col min="1821" max="1821" width="6.85546875" customWidth="1"/>
    <col min="2049" max="2063" width="0" hidden="1" customWidth="1"/>
    <col min="2065" max="2065" width="35.85546875" customWidth="1"/>
    <col min="2066" max="2069" width="0" hidden="1" customWidth="1"/>
    <col min="2070" max="2075" width="6.85546875" customWidth="1"/>
    <col min="2076" max="2076" width="7.7109375" customWidth="1"/>
    <col min="2077" max="2077" width="6.85546875" customWidth="1"/>
    <col min="2305" max="2319" width="0" hidden="1" customWidth="1"/>
    <col min="2321" max="2321" width="35.85546875" customWidth="1"/>
    <col min="2322" max="2325" width="0" hidden="1" customWidth="1"/>
    <col min="2326" max="2331" width="6.85546875" customWidth="1"/>
    <col min="2332" max="2332" width="7.7109375" customWidth="1"/>
    <col min="2333" max="2333" width="6.85546875" customWidth="1"/>
    <col min="2561" max="2575" width="0" hidden="1" customWidth="1"/>
    <col min="2577" max="2577" width="35.85546875" customWidth="1"/>
    <col min="2578" max="2581" width="0" hidden="1" customWidth="1"/>
    <col min="2582" max="2587" width="6.85546875" customWidth="1"/>
    <col min="2588" max="2588" width="7.7109375" customWidth="1"/>
    <col min="2589" max="2589" width="6.85546875" customWidth="1"/>
    <col min="2817" max="2831" width="0" hidden="1" customWidth="1"/>
    <col min="2833" max="2833" width="35.85546875" customWidth="1"/>
    <col min="2834" max="2837" width="0" hidden="1" customWidth="1"/>
    <col min="2838" max="2843" width="6.85546875" customWidth="1"/>
    <col min="2844" max="2844" width="7.7109375" customWidth="1"/>
    <col min="2845" max="2845" width="6.85546875" customWidth="1"/>
    <col min="3073" max="3087" width="0" hidden="1" customWidth="1"/>
    <col min="3089" max="3089" width="35.85546875" customWidth="1"/>
    <col min="3090" max="3093" width="0" hidden="1" customWidth="1"/>
    <col min="3094" max="3099" width="6.85546875" customWidth="1"/>
    <col min="3100" max="3100" width="7.7109375" customWidth="1"/>
    <col min="3101" max="3101" width="6.85546875" customWidth="1"/>
    <col min="3329" max="3343" width="0" hidden="1" customWidth="1"/>
    <col min="3345" max="3345" width="35.85546875" customWidth="1"/>
    <col min="3346" max="3349" width="0" hidden="1" customWidth="1"/>
    <col min="3350" max="3355" width="6.85546875" customWidth="1"/>
    <col min="3356" max="3356" width="7.7109375" customWidth="1"/>
    <col min="3357" max="3357" width="6.85546875" customWidth="1"/>
    <col min="3585" max="3599" width="0" hidden="1" customWidth="1"/>
    <col min="3601" max="3601" width="35.85546875" customWidth="1"/>
    <col min="3602" max="3605" width="0" hidden="1" customWidth="1"/>
    <col min="3606" max="3611" width="6.85546875" customWidth="1"/>
    <col min="3612" max="3612" width="7.7109375" customWidth="1"/>
    <col min="3613" max="3613" width="6.85546875" customWidth="1"/>
    <col min="3841" max="3855" width="0" hidden="1" customWidth="1"/>
    <col min="3857" max="3857" width="35.85546875" customWidth="1"/>
    <col min="3858" max="3861" width="0" hidden="1" customWidth="1"/>
    <col min="3862" max="3867" width="6.85546875" customWidth="1"/>
    <col min="3868" max="3868" width="7.7109375" customWidth="1"/>
    <col min="3869" max="3869" width="6.85546875" customWidth="1"/>
    <col min="4097" max="4111" width="0" hidden="1" customWidth="1"/>
    <col min="4113" max="4113" width="35.85546875" customWidth="1"/>
    <col min="4114" max="4117" width="0" hidden="1" customWidth="1"/>
    <col min="4118" max="4123" width="6.85546875" customWidth="1"/>
    <col min="4124" max="4124" width="7.7109375" customWidth="1"/>
    <col min="4125" max="4125" width="6.85546875" customWidth="1"/>
    <col min="4353" max="4367" width="0" hidden="1" customWidth="1"/>
    <col min="4369" max="4369" width="35.85546875" customWidth="1"/>
    <col min="4370" max="4373" width="0" hidden="1" customWidth="1"/>
    <col min="4374" max="4379" width="6.85546875" customWidth="1"/>
    <col min="4380" max="4380" width="7.7109375" customWidth="1"/>
    <col min="4381" max="4381" width="6.85546875" customWidth="1"/>
    <col min="4609" max="4623" width="0" hidden="1" customWidth="1"/>
    <col min="4625" max="4625" width="35.85546875" customWidth="1"/>
    <col min="4626" max="4629" width="0" hidden="1" customWidth="1"/>
    <col min="4630" max="4635" width="6.85546875" customWidth="1"/>
    <col min="4636" max="4636" width="7.7109375" customWidth="1"/>
    <col min="4637" max="4637" width="6.85546875" customWidth="1"/>
    <col min="4865" max="4879" width="0" hidden="1" customWidth="1"/>
    <col min="4881" max="4881" width="35.85546875" customWidth="1"/>
    <col min="4882" max="4885" width="0" hidden="1" customWidth="1"/>
    <col min="4886" max="4891" width="6.85546875" customWidth="1"/>
    <col min="4892" max="4892" width="7.7109375" customWidth="1"/>
    <col min="4893" max="4893" width="6.85546875" customWidth="1"/>
    <col min="5121" max="5135" width="0" hidden="1" customWidth="1"/>
    <col min="5137" max="5137" width="35.85546875" customWidth="1"/>
    <col min="5138" max="5141" width="0" hidden="1" customWidth="1"/>
    <col min="5142" max="5147" width="6.85546875" customWidth="1"/>
    <col min="5148" max="5148" width="7.7109375" customWidth="1"/>
    <col min="5149" max="5149" width="6.85546875" customWidth="1"/>
    <col min="5377" max="5391" width="0" hidden="1" customWidth="1"/>
    <col min="5393" max="5393" width="35.85546875" customWidth="1"/>
    <col min="5394" max="5397" width="0" hidden="1" customWidth="1"/>
    <col min="5398" max="5403" width="6.85546875" customWidth="1"/>
    <col min="5404" max="5404" width="7.7109375" customWidth="1"/>
    <col min="5405" max="5405" width="6.85546875" customWidth="1"/>
    <col min="5633" max="5647" width="0" hidden="1" customWidth="1"/>
    <col min="5649" max="5649" width="35.85546875" customWidth="1"/>
    <col min="5650" max="5653" width="0" hidden="1" customWidth="1"/>
    <col min="5654" max="5659" width="6.85546875" customWidth="1"/>
    <col min="5660" max="5660" width="7.7109375" customWidth="1"/>
    <col min="5661" max="5661" width="6.85546875" customWidth="1"/>
    <col min="5889" max="5903" width="0" hidden="1" customWidth="1"/>
    <col min="5905" max="5905" width="35.85546875" customWidth="1"/>
    <col min="5906" max="5909" width="0" hidden="1" customWidth="1"/>
    <col min="5910" max="5915" width="6.85546875" customWidth="1"/>
    <col min="5916" max="5916" width="7.7109375" customWidth="1"/>
    <col min="5917" max="5917" width="6.85546875" customWidth="1"/>
    <col min="6145" max="6159" width="0" hidden="1" customWidth="1"/>
    <col min="6161" max="6161" width="35.85546875" customWidth="1"/>
    <col min="6162" max="6165" width="0" hidden="1" customWidth="1"/>
    <col min="6166" max="6171" width="6.85546875" customWidth="1"/>
    <col min="6172" max="6172" width="7.7109375" customWidth="1"/>
    <col min="6173" max="6173" width="6.85546875" customWidth="1"/>
    <col min="6401" max="6415" width="0" hidden="1" customWidth="1"/>
    <col min="6417" max="6417" width="35.85546875" customWidth="1"/>
    <col min="6418" max="6421" width="0" hidden="1" customWidth="1"/>
    <col min="6422" max="6427" width="6.85546875" customWidth="1"/>
    <col min="6428" max="6428" width="7.7109375" customWidth="1"/>
    <col min="6429" max="6429" width="6.85546875" customWidth="1"/>
    <col min="6657" max="6671" width="0" hidden="1" customWidth="1"/>
    <col min="6673" max="6673" width="35.85546875" customWidth="1"/>
    <col min="6674" max="6677" width="0" hidden="1" customWidth="1"/>
    <col min="6678" max="6683" width="6.85546875" customWidth="1"/>
    <col min="6684" max="6684" width="7.7109375" customWidth="1"/>
    <col min="6685" max="6685" width="6.85546875" customWidth="1"/>
    <col min="6913" max="6927" width="0" hidden="1" customWidth="1"/>
    <col min="6929" max="6929" width="35.85546875" customWidth="1"/>
    <col min="6930" max="6933" width="0" hidden="1" customWidth="1"/>
    <col min="6934" max="6939" width="6.85546875" customWidth="1"/>
    <col min="6940" max="6940" width="7.7109375" customWidth="1"/>
    <col min="6941" max="6941" width="6.85546875" customWidth="1"/>
    <col min="7169" max="7183" width="0" hidden="1" customWidth="1"/>
    <col min="7185" max="7185" width="35.85546875" customWidth="1"/>
    <col min="7186" max="7189" width="0" hidden="1" customWidth="1"/>
    <col min="7190" max="7195" width="6.85546875" customWidth="1"/>
    <col min="7196" max="7196" width="7.7109375" customWidth="1"/>
    <col min="7197" max="7197" width="6.85546875" customWidth="1"/>
    <col min="7425" max="7439" width="0" hidden="1" customWidth="1"/>
    <col min="7441" max="7441" width="35.85546875" customWidth="1"/>
    <col min="7442" max="7445" width="0" hidden="1" customWidth="1"/>
    <col min="7446" max="7451" width="6.85546875" customWidth="1"/>
    <col min="7452" max="7452" width="7.7109375" customWidth="1"/>
    <col min="7453" max="7453" width="6.85546875" customWidth="1"/>
    <col min="7681" max="7695" width="0" hidden="1" customWidth="1"/>
    <col min="7697" max="7697" width="35.85546875" customWidth="1"/>
    <col min="7698" max="7701" width="0" hidden="1" customWidth="1"/>
    <col min="7702" max="7707" width="6.85546875" customWidth="1"/>
    <col min="7708" max="7708" width="7.7109375" customWidth="1"/>
    <col min="7709" max="7709" width="6.85546875" customWidth="1"/>
    <col min="7937" max="7951" width="0" hidden="1" customWidth="1"/>
    <col min="7953" max="7953" width="35.85546875" customWidth="1"/>
    <col min="7954" max="7957" width="0" hidden="1" customWidth="1"/>
    <col min="7958" max="7963" width="6.85546875" customWidth="1"/>
    <col min="7964" max="7964" width="7.7109375" customWidth="1"/>
    <col min="7965" max="7965" width="6.85546875" customWidth="1"/>
    <col min="8193" max="8207" width="0" hidden="1" customWidth="1"/>
    <col min="8209" max="8209" width="35.85546875" customWidth="1"/>
    <col min="8210" max="8213" width="0" hidden="1" customWidth="1"/>
    <col min="8214" max="8219" width="6.85546875" customWidth="1"/>
    <col min="8220" max="8220" width="7.7109375" customWidth="1"/>
    <col min="8221" max="8221" width="6.85546875" customWidth="1"/>
    <col min="8449" max="8463" width="0" hidden="1" customWidth="1"/>
    <col min="8465" max="8465" width="35.85546875" customWidth="1"/>
    <col min="8466" max="8469" width="0" hidden="1" customWidth="1"/>
    <col min="8470" max="8475" width="6.85546875" customWidth="1"/>
    <col min="8476" max="8476" width="7.7109375" customWidth="1"/>
    <col min="8477" max="8477" width="6.85546875" customWidth="1"/>
    <col min="8705" max="8719" width="0" hidden="1" customWidth="1"/>
    <col min="8721" max="8721" width="35.85546875" customWidth="1"/>
    <col min="8722" max="8725" width="0" hidden="1" customWidth="1"/>
    <col min="8726" max="8731" width="6.85546875" customWidth="1"/>
    <col min="8732" max="8732" width="7.7109375" customWidth="1"/>
    <col min="8733" max="8733" width="6.85546875" customWidth="1"/>
    <col min="8961" max="8975" width="0" hidden="1" customWidth="1"/>
    <col min="8977" max="8977" width="35.85546875" customWidth="1"/>
    <col min="8978" max="8981" width="0" hidden="1" customWidth="1"/>
    <col min="8982" max="8987" width="6.85546875" customWidth="1"/>
    <col min="8988" max="8988" width="7.7109375" customWidth="1"/>
    <col min="8989" max="8989" width="6.85546875" customWidth="1"/>
    <col min="9217" max="9231" width="0" hidden="1" customWidth="1"/>
    <col min="9233" max="9233" width="35.85546875" customWidth="1"/>
    <col min="9234" max="9237" width="0" hidden="1" customWidth="1"/>
    <col min="9238" max="9243" width="6.85546875" customWidth="1"/>
    <col min="9244" max="9244" width="7.7109375" customWidth="1"/>
    <col min="9245" max="9245" width="6.85546875" customWidth="1"/>
    <col min="9473" max="9487" width="0" hidden="1" customWidth="1"/>
    <col min="9489" max="9489" width="35.85546875" customWidth="1"/>
    <col min="9490" max="9493" width="0" hidden="1" customWidth="1"/>
    <col min="9494" max="9499" width="6.85546875" customWidth="1"/>
    <col min="9500" max="9500" width="7.7109375" customWidth="1"/>
    <col min="9501" max="9501" width="6.85546875" customWidth="1"/>
    <col min="9729" max="9743" width="0" hidden="1" customWidth="1"/>
    <col min="9745" max="9745" width="35.85546875" customWidth="1"/>
    <col min="9746" max="9749" width="0" hidden="1" customWidth="1"/>
    <col min="9750" max="9755" width="6.85546875" customWidth="1"/>
    <col min="9756" max="9756" width="7.7109375" customWidth="1"/>
    <col min="9757" max="9757" width="6.85546875" customWidth="1"/>
    <col min="9985" max="9999" width="0" hidden="1" customWidth="1"/>
    <col min="10001" max="10001" width="35.85546875" customWidth="1"/>
    <col min="10002" max="10005" width="0" hidden="1" customWidth="1"/>
    <col min="10006" max="10011" width="6.85546875" customWidth="1"/>
    <col min="10012" max="10012" width="7.7109375" customWidth="1"/>
    <col min="10013" max="10013" width="6.85546875" customWidth="1"/>
    <col min="10241" max="10255" width="0" hidden="1" customWidth="1"/>
    <col min="10257" max="10257" width="35.85546875" customWidth="1"/>
    <col min="10258" max="10261" width="0" hidden="1" customWidth="1"/>
    <col min="10262" max="10267" width="6.85546875" customWidth="1"/>
    <col min="10268" max="10268" width="7.7109375" customWidth="1"/>
    <col min="10269" max="10269" width="6.85546875" customWidth="1"/>
    <col min="10497" max="10511" width="0" hidden="1" customWidth="1"/>
    <col min="10513" max="10513" width="35.85546875" customWidth="1"/>
    <col min="10514" max="10517" width="0" hidden="1" customWidth="1"/>
    <col min="10518" max="10523" width="6.85546875" customWidth="1"/>
    <col min="10524" max="10524" width="7.7109375" customWidth="1"/>
    <col min="10525" max="10525" width="6.85546875" customWidth="1"/>
    <col min="10753" max="10767" width="0" hidden="1" customWidth="1"/>
    <col min="10769" max="10769" width="35.85546875" customWidth="1"/>
    <col min="10770" max="10773" width="0" hidden="1" customWidth="1"/>
    <col min="10774" max="10779" width="6.85546875" customWidth="1"/>
    <col min="10780" max="10780" width="7.7109375" customWidth="1"/>
    <col min="10781" max="10781" width="6.85546875" customWidth="1"/>
    <col min="11009" max="11023" width="0" hidden="1" customWidth="1"/>
    <col min="11025" max="11025" width="35.85546875" customWidth="1"/>
    <col min="11026" max="11029" width="0" hidden="1" customWidth="1"/>
    <col min="11030" max="11035" width="6.85546875" customWidth="1"/>
    <col min="11036" max="11036" width="7.7109375" customWidth="1"/>
    <col min="11037" max="11037" width="6.85546875" customWidth="1"/>
    <col min="11265" max="11279" width="0" hidden="1" customWidth="1"/>
    <col min="11281" max="11281" width="35.85546875" customWidth="1"/>
    <col min="11282" max="11285" width="0" hidden="1" customWidth="1"/>
    <col min="11286" max="11291" width="6.85546875" customWidth="1"/>
    <col min="11292" max="11292" width="7.7109375" customWidth="1"/>
    <col min="11293" max="11293" width="6.85546875" customWidth="1"/>
    <col min="11521" max="11535" width="0" hidden="1" customWidth="1"/>
    <col min="11537" max="11537" width="35.85546875" customWidth="1"/>
    <col min="11538" max="11541" width="0" hidden="1" customWidth="1"/>
    <col min="11542" max="11547" width="6.85546875" customWidth="1"/>
    <col min="11548" max="11548" width="7.7109375" customWidth="1"/>
    <col min="11549" max="11549" width="6.85546875" customWidth="1"/>
    <col min="11777" max="11791" width="0" hidden="1" customWidth="1"/>
    <col min="11793" max="11793" width="35.85546875" customWidth="1"/>
    <col min="11794" max="11797" width="0" hidden="1" customWidth="1"/>
    <col min="11798" max="11803" width="6.85546875" customWidth="1"/>
    <col min="11804" max="11804" width="7.7109375" customWidth="1"/>
    <col min="11805" max="11805" width="6.85546875" customWidth="1"/>
    <col min="12033" max="12047" width="0" hidden="1" customWidth="1"/>
    <col min="12049" max="12049" width="35.85546875" customWidth="1"/>
    <col min="12050" max="12053" width="0" hidden="1" customWidth="1"/>
    <col min="12054" max="12059" width="6.85546875" customWidth="1"/>
    <col min="12060" max="12060" width="7.7109375" customWidth="1"/>
    <col min="12061" max="12061" width="6.85546875" customWidth="1"/>
    <col min="12289" max="12303" width="0" hidden="1" customWidth="1"/>
    <col min="12305" max="12305" width="35.85546875" customWidth="1"/>
    <col min="12306" max="12309" width="0" hidden="1" customWidth="1"/>
    <col min="12310" max="12315" width="6.85546875" customWidth="1"/>
    <col min="12316" max="12316" width="7.7109375" customWidth="1"/>
    <col min="12317" max="12317" width="6.85546875" customWidth="1"/>
    <col min="12545" max="12559" width="0" hidden="1" customWidth="1"/>
    <col min="12561" max="12561" width="35.85546875" customWidth="1"/>
    <col min="12562" max="12565" width="0" hidden="1" customWidth="1"/>
    <col min="12566" max="12571" width="6.85546875" customWidth="1"/>
    <col min="12572" max="12572" width="7.7109375" customWidth="1"/>
    <col min="12573" max="12573" width="6.85546875" customWidth="1"/>
    <col min="12801" max="12815" width="0" hidden="1" customWidth="1"/>
    <col min="12817" max="12817" width="35.85546875" customWidth="1"/>
    <col min="12818" max="12821" width="0" hidden="1" customWidth="1"/>
    <col min="12822" max="12827" width="6.85546875" customWidth="1"/>
    <col min="12828" max="12828" width="7.7109375" customWidth="1"/>
    <col min="12829" max="12829" width="6.85546875" customWidth="1"/>
    <col min="13057" max="13071" width="0" hidden="1" customWidth="1"/>
    <col min="13073" max="13073" width="35.85546875" customWidth="1"/>
    <col min="13074" max="13077" width="0" hidden="1" customWidth="1"/>
    <col min="13078" max="13083" width="6.85546875" customWidth="1"/>
    <col min="13084" max="13084" width="7.7109375" customWidth="1"/>
    <col min="13085" max="13085" width="6.85546875" customWidth="1"/>
    <col min="13313" max="13327" width="0" hidden="1" customWidth="1"/>
    <col min="13329" max="13329" width="35.85546875" customWidth="1"/>
    <col min="13330" max="13333" width="0" hidden="1" customWidth="1"/>
    <col min="13334" max="13339" width="6.85546875" customWidth="1"/>
    <col min="13340" max="13340" width="7.7109375" customWidth="1"/>
    <col min="13341" max="13341" width="6.85546875" customWidth="1"/>
    <col min="13569" max="13583" width="0" hidden="1" customWidth="1"/>
    <col min="13585" max="13585" width="35.85546875" customWidth="1"/>
    <col min="13586" max="13589" width="0" hidden="1" customWidth="1"/>
    <col min="13590" max="13595" width="6.85546875" customWidth="1"/>
    <col min="13596" max="13596" width="7.7109375" customWidth="1"/>
    <col min="13597" max="13597" width="6.85546875" customWidth="1"/>
    <col min="13825" max="13839" width="0" hidden="1" customWidth="1"/>
    <col min="13841" max="13841" width="35.85546875" customWidth="1"/>
    <col min="13842" max="13845" width="0" hidden="1" customWidth="1"/>
    <col min="13846" max="13851" width="6.85546875" customWidth="1"/>
    <col min="13852" max="13852" width="7.7109375" customWidth="1"/>
    <col min="13853" max="13853" width="6.85546875" customWidth="1"/>
    <col min="14081" max="14095" width="0" hidden="1" customWidth="1"/>
    <col min="14097" max="14097" width="35.85546875" customWidth="1"/>
    <col min="14098" max="14101" width="0" hidden="1" customWidth="1"/>
    <col min="14102" max="14107" width="6.85546875" customWidth="1"/>
    <col min="14108" max="14108" width="7.7109375" customWidth="1"/>
    <col min="14109" max="14109" width="6.85546875" customWidth="1"/>
    <col min="14337" max="14351" width="0" hidden="1" customWidth="1"/>
    <col min="14353" max="14353" width="35.85546875" customWidth="1"/>
    <col min="14354" max="14357" width="0" hidden="1" customWidth="1"/>
    <col min="14358" max="14363" width="6.85546875" customWidth="1"/>
    <col min="14364" max="14364" width="7.7109375" customWidth="1"/>
    <col min="14365" max="14365" width="6.85546875" customWidth="1"/>
    <col min="14593" max="14607" width="0" hidden="1" customWidth="1"/>
    <col min="14609" max="14609" width="35.85546875" customWidth="1"/>
    <col min="14610" max="14613" width="0" hidden="1" customWidth="1"/>
    <col min="14614" max="14619" width="6.85546875" customWidth="1"/>
    <col min="14620" max="14620" width="7.7109375" customWidth="1"/>
    <col min="14621" max="14621" width="6.85546875" customWidth="1"/>
    <col min="14849" max="14863" width="0" hidden="1" customWidth="1"/>
    <col min="14865" max="14865" width="35.85546875" customWidth="1"/>
    <col min="14866" max="14869" width="0" hidden="1" customWidth="1"/>
    <col min="14870" max="14875" width="6.85546875" customWidth="1"/>
    <col min="14876" max="14876" width="7.7109375" customWidth="1"/>
    <col min="14877" max="14877" width="6.85546875" customWidth="1"/>
    <col min="15105" max="15119" width="0" hidden="1" customWidth="1"/>
    <col min="15121" max="15121" width="35.85546875" customWidth="1"/>
    <col min="15122" max="15125" width="0" hidden="1" customWidth="1"/>
    <col min="15126" max="15131" width="6.85546875" customWidth="1"/>
    <col min="15132" max="15132" width="7.7109375" customWidth="1"/>
    <col min="15133" max="15133" width="6.85546875" customWidth="1"/>
    <col min="15361" max="15375" width="0" hidden="1" customWidth="1"/>
    <col min="15377" max="15377" width="35.85546875" customWidth="1"/>
    <col min="15378" max="15381" width="0" hidden="1" customWidth="1"/>
    <col min="15382" max="15387" width="6.85546875" customWidth="1"/>
    <col min="15388" max="15388" width="7.7109375" customWidth="1"/>
    <col min="15389" max="15389" width="6.85546875" customWidth="1"/>
    <col min="15617" max="15631" width="0" hidden="1" customWidth="1"/>
    <col min="15633" max="15633" width="35.85546875" customWidth="1"/>
    <col min="15634" max="15637" width="0" hidden="1" customWidth="1"/>
    <col min="15638" max="15643" width="6.85546875" customWidth="1"/>
    <col min="15644" max="15644" width="7.7109375" customWidth="1"/>
    <col min="15645" max="15645" width="6.85546875" customWidth="1"/>
    <col min="15873" max="15887" width="0" hidden="1" customWidth="1"/>
    <col min="15889" max="15889" width="35.85546875" customWidth="1"/>
    <col min="15890" max="15893" width="0" hidden="1" customWidth="1"/>
    <col min="15894" max="15899" width="6.85546875" customWidth="1"/>
    <col min="15900" max="15900" width="7.7109375" customWidth="1"/>
    <col min="15901" max="15901" width="6.85546875" customWidth="1"/>
    <col min="16129" max="16143" width="0" hidden="1" customWidth="1"/>
    <col min="16145" max="16145" width="35.85546875" customWidth="1"/>
    <col min="16146" max="16149" width="0" hidden="1" customWidth="1"/>
    <col min="16150" max="16155" width="6.85546875" customWidth="1"/>
    <col min="16156" max="16156" width="7.7109375" customWidth="1"/>
    <col min="16157" max="16157" width="6.85546875" customWidth="1"/>
  </cols>
  <sheetData>
    <row r="1" spans="1:42" ht="21">
      <c r="C1" s="100" t="s">
        <v>258</v>
      </c>
      <c r="Z1" s="100" t="s">
        <v>259</v>
      </c>
    </row>
    <row r="2" spans="1:42" ht="13.9" thickBot="1"/>
    <row r="3" spans="1:42">
      <c r="A3" s="650" t="s">
        <v>75</v>
      </c>
      <c r="B3" s="645">
        <v>2005</v>
      </c>
      <c r="C3" s="646"/>
      <c r="D3" s="647">
        <v>2014</v>
      </c>
      <c r="E3" s="648"/>
      <c r="F3" s="647">
        <v>2020</v>
      </c>
      <c r="G3" s="648"/>
      <c r="H3" s="647">
        <v>2025</v>
      </c>
      <c r="I3" s="648"/>
      <c r="J3" s="647">
        <v>2030</v>
      </c>
      <c r="K3" s="649"/>
      <c r="L3" s="640">
        <v>2040</v>
      </c>
      <c r="M3" s="640"/>
      <c r="N3" s="641">
        <v>2050</v>
      </c>
      <c r="O3" s="642"/>
      <c r="Q3" s="643" t="s">
        <v>260</v>
      </c>
      <c r="R3" s="645">
        <v>2005</v>
      </c>
      <c r="S3" s="646"/>
      <c r="T3" s="647">
        <v>2014</v>
      </c>
      <c r="U3" s="648"/>
      <c r="V3" s="647">
        <v>2016</v>
      </c>
      <c r="W3" s="648"/>
      <c r="X3" s="647">
        <v>2021</v>
      </c>
      <c r="Y3" s="648"/>
      <c r="Z3" s="647">
        <v>2025</v>
      </c>
      <c r="AA3" s="648"/>
      <c r="AB3" s="647">
        <v>2026</v>
      </c>
      <c r="AC3" s="649"/>
      <c r="AE3" s="635" t="s">
        <v>261</v>
      </c>
      <c r="AF3" s="101">
        <v>2016</v>
      </c>
      <c r="AG3" s="101">
        <v>2017</v>
      </c>
      <c r="AH3" s="101">
        <v>2018</v>
      </c>
      <c r="AI3" s="101">
        <v>2019</v>
      </c>
      <c r="AJ3" s="101">
        <v>2020</v>
      </c>
      <c r="AK3" s="101">
        <v>2021</v>
      </c>
      <c r="AL3" s="101">
        <v>2022</v>
      </c>
      <c r="AM3" s="101">
        <v>2023</v>
      </c>
      <c r="AN3" s="101">
        <v>2024</v>
      </c>
      <c r="AO3" s="101">
        <v>2025</v>
      </c>
      <c r="AP3" s="102">
        <v>2026</v>
      </c>
    </row>
    <row r="4" spans="1:42" ht="13.9" thickBot="1">
      <c r="A4" s="651"/>
      <c r="B4" s="103" t="s">
        <v>76</v>
      </c>
      <c r="C4" s="104" t="s">
        <v>56</v>
      </c>
      <c r="D4" s="105" t="s">
        <v>76</v>
      </c>
      <c r="E4" s="106" t="s">
        <v>56</v>
      </c>
      <c r="F4" s="105" t="s">
        <v>76</v>
      </c>
      <c r="G4" s="106" t="s">
        <v>56</v>
      </c>
      <c r="H4" s="105" t="s">
        <v>76</v>
      </c>
      <c r="I4" s="106" t="s">
        <v>56</v>
      </c>
      <c r="J4" s="105" t="s">
        <v>76</v>
      </c>
      <c r="K4" s="107" t="s">
        <v>56</v>
      </c>
      <c r="L4" s="108" t="s">
        <v>76</v>
      </c>
      <c r="M4" s="108" t="s">
        <v>56</v>
      </c>
      <c r="N4" s="109" t="s">
        <v>76</v>
      </c>
      <c r="O4" s="110" t="s">
        <v>56</v>
      </c>
      <c r="Q4" s="644"/>
      <c r="R4" s="103" t="s">
        <v>76</v>
      </c>
      <c r="S4" s="104" t="s">
        <v>56</v>
      </c>
      <c r="T4" s="105" t="s">
        <v>76</v>
      </c>
      <c r="U4" s="106" t="s">
        <v>56</v>
      </c>
      <c r="V4" s="105" t="s">
        <v>76</v>
      </c>
      <c r="W4" s="106" t="s">
        <v>56</v>
      </c>
      <c r="X4" s="105" t="s">
        <v>76</v>
      </c>
      <c r="Y4" s="106" t="s">
        <v>56</v>
      </c>
      <c r="Z4" s="105" t="s">
        <v>76</v>
      </c>
      <c r="AA4" s="106" t="s">
        <v>56</v>
      </c>
      <c r="AB4" s="105" t="s">
        <v>76</v>
      </c>
      <c r="AC4" s="107" t="s">
        <v>56</v>
      </c>
      <c r="AE4" s="636"/>
      <c r="AF4" s="637" t="s">
        <v>76</v>
      </c>
      <c r="AG4" s="638"/>
      <c r="AH4" s="638"/>
      <c r="AI4" s="638"/>
      <c r="AJ4" s="638"/>
      <c r="AK4" s="638"/>
      <c r="AL4" s="638"/>
      <c r="AM4" s="638"/>
      <c r="AN4" s="638"/>
      <c r="AO4" s="638"/>
      <c r="AP4" s="639"/>
    </row>
    <row r="5" spans="1:42" ht="13.9" thickTop="1">
      <c r="A5" s="111" t="s">
        <v>89</v>
      </c>
      <c r="B5" s="112">
        <v>373.05733464071153</v>
      </c>
      <c r="C5" s="113">
        <f t="shared" ref="C5:C12" si="0">B5/B$21*100</f>
        <v>85.603936019289534</v>
      </c>
      <c r="D5" s="114">
        <v>403.81450000000001</v>
      </c>
      <c r="E5" s="113">
        <f t="shared" ref="E5:E12" si="1">D5/D$21*100</f>
        <v>64.703886996908494</v>
      </c>
      <c r="F5" s="114">
        <v>546.44836199999975</v>
      </c>
      <c r="G5" s="115">
        <f t="shared" ref="G5:G12" si="2">F5/F$21*100</f>
        <v>77.98176902789092</v>
      </c>
      <c r="H5" s="114">
        <v>612.30961899999977</v>
      </c>
      <c r="I5" s="113">
        <f t="shared" ref="I5:I12" si="3">H5/H$21*100</f>
        <v>64.235295191135663</v>
      </c>
      <c r="J5" s="114">
        <v>689.86186260691989</v>
      </c>
      <c r="K5" s="116">
        <f t="shared" ref="K5:K12" si="4">J5/J$21*100</f>
        <v>59.913868626508929</v>
      </c>
      <c r="L5" s="117">
        <v>733.9200143242798</v>
      </c>
      <c r="M5" s="115" t="e">
        <f t="shared" ref="M5:M12" si="5">L5/L$21*100</f>
        <v>#REF!</v>
      </c>
      <c r="N5" s="114">
        <v>747.90273164159998</v>
      </c>
      <c r="O5" s="118" t="e">
        <f t="shared" ref="O5:O12" si="6">N5/N$21*100</f>
        <v>#REF!</v>
      </c>
      <c r="Q5" s="111" t="s">
        <v>89</v>
      </c>
      <c r="R5" s="112">
        <f t="shared" ref="R5:R12" si="7">B5</f>
        <v>373.05733464071153</v>
      </c>
      <c r="S5" s="119">
        <f>R5/R$21*100</f>
        <v>85.603936019289534</v>
      </c>
      <c r="T5" s="114">
        <f t="shared" ref="T5:T12" si="8">D5</f>
        <v>403.81450000000001</v>
      </c>
      <c r="U5" s="113">
        <f t="shared" ref="U5:U12" si="9">T5/T$21*100</f>
        <v>64.703886996908494</v>
      </c>
      <c r="V5" s="114">
        <v>377.3920977056714</v>
      </c>
      <c r="W5" s="113">
        <f t="shared" ref="W5:Y12" si="10">V5/V$21*100</f>
        <v>64.744278100280496</v>
      </c>
      <c r="X5" s="119">
        <v>513.26407445099699</v>
      </c>
      <c r="Y5" s="113">
        <f>X5/X$21*100</f>
        <v>68.344376250782361</v>
      </c>
      <c r="Z5" s="119">
        <v>554.06251034264733</v>
      </c>
      <c r="AA5" s="113">
        <f t="shared" ref="AA5:AA12" si="11">Z5/Z$21*100</f>
        <v>63.540405076483871</v>
      </c>
      <c r="AB5" s="119">
        <v>555.79273720643505</v>
      </c>
      <c r="AC5" s="116">
        <f t="shared" ref="AC5:AC12" si="12">AB5/AB$21*100</f>
        <v>61.184785946527178</v>
      </c>
      <c r="AE5" s="120" t="s">
        <v>262</v>
      </c>
      <c r="AF5" s="121">
        <v>4.3234571489562446E-2</v>
      </c>
      <c r="AG5" s="122">
        <v>8.8831574121836801E-2</v>
      </c>
      <c r="AH5" s="122">
        <v>0.15027224758674629</v>
      </c>
      <c r="AI5" s="122">
        <v>0.24687668389292905</v>
      </c>
      <c r="AJ5" s="122">
        <v>0.39305228601508579</v>
      </c>
      <c r="AK5" s="122">
        <v>0.61027089151307634</v>
      </c>
      <c r="AL5" s="122">
        <v>0.92996874072451996</v>
      </c>
      <c r="AM5" s="122">
        <v>1.3928310877353449</v>
      </c>
      <c r="AN5" s="122">
        <v>2.093200530586099</v>
      </c>
      <c r="AO5" s="122">
        <v>3.1209231292541597</v>
      </c>
      <c r="AP5" s="123">
        <v>4.5352775094132012</v>
      </c>
    </row>
    <row r="6" spans="1:42">
      <c r="A6" s="111" t="s">
        <v>78</v>
      </c>
      <c r="B6" s="124">
        <v>14.037693277382793</v>
      </c>
      <c r="C6" s="125">
        <f t="shared" si="0"/>
        <v>3.2211718832249132</v>
      </c>
      <c r="D6" s="126">
        <v>71.574999999999989</v>
      </c>
      <c r="E6" s="125">
        <f t="shared" si="1"/>
        <v>11.468584490660252</v>
      </c>
      <c r="F6" s="126">
        <v>25.648914999999999</v>
      </c>
      <c r="G6" s="127">
        <f t="shared" si="2"/>
        <v>3.660268571444647</v>
      </c>
      <c r="H6" s="126">
        <v>38.967384999999993</v>
      </c>
      <c r="I6" s="125">
        <f t="shared" si="3"/>
        <v>4.0879342748029446</v>
      </c>
      <c r="J6" s="126">
        <v>76.302902985310823</v>
      </c>
      <c r="K6" s="128">
        <f t="shared" si="4"/>
        <v>6.6268369844471984</v>
      </c>
      <c r="L6" s="45">
        <v>108.1311341928</v>
      </c>
      <c r="M6" s="127" t="e">
        <f t="shared" si="5"/>
        <v>#REF!</v>
      </c>
      <c r="N6" s="126">
        <v>179.80944866520002</v>
      </c>
      <c r="O6" s="129" t="e">
        <f t="shared" si="6"/>
        <v>#REF!</v>
      </c>
      <c r="Q6" s="111" t="s">
        <v>78</v>
      </c>
      <c r="R6" s="124">
        <f t="shared" si="7"/>
        <v>14.037693277382793</v>
      </c>
      <c r="S6" s="46">
        <f t="shared" ref="S6:S12" si="13">R6/R$21*100</f>
        <v>3.2211718832249132</v>
      </c>
      <c r="T6" s="126">
        <f t="shared" si="8"/>
        <v>71.574999999999989</v>
      </c>
      <c r="U6" s="125">
        <f t="shared" si="9"/>
        <v>11.468584490660252</v>
      </c>
      <c r="V6" s="130">
        <v>45.375901137116713</v>
      </c>
      <c r="W6" s="125">
        <f t="shared" si="10"/>
        <v>7.7845561158610579</v>
      </c>
      <c r="X6" s="131">
        <v>19.839136999999994</v>
      </c>
      <c r="Y6" s="125">
        <f t="shared" si="10"/>
        <v>2.6417072830766939</v>
      </c>
      <c r="Z6" s="131">
        <v>34.889474</v>
      </c>
      <c r="AA6" s="125">
        <f t="shared" si="11"/>
        <v>4.0011573955698001</v>
      </c>
      <c r="AB6" s="131">
        <v>37.016693999999994</v>
      </c>
      <c r="AC6" s="128">
        <f t="shared" si="12"/>
        <v>4.0750055681221911</v>
      </c>
      <c r="AE6" s="120" t="s">
        <v>263</v>
      </c>
      <c r="AF6" s="132">
        <v>0.28294799999999998</v>
      </c>
      <c r="AG6" s="133">
        <v>0.345582</v>
      </c>
      <c r="AH6" s="133">
        <v>0.42231959999999996</v>
      </c>
      <c r="AI6" s="133">
        <v>0.5161391999999998</v>
      </c>
      <c r="AJ6" s="133">
        <v>0.63080760000000002</v>
      </c>
      <c r="AK6" s="133">
        <v>0.77079239999999993</v>
      </c>
      <c r="AL6" s="133">
        <v>0.94091159999999985</v>
      </c>
      <c r="AM6" s="133">
        <v>1.1462460000000001</v>
      </c>
      <c r="AN6" s="133">
        <v>1.3994975999999999</v>
      </c>
      <c r="AO6" s="133">
        <v>1.6931328000000001</v>
      </c>
      <c r="AP6" s="134">
        <v>2.0368751999999999</v>
      </c>
    </row>
    <row r="7" spans="1:42">
      <c r="A7" s="111" t="s">
        <v>79</v>
      </c>
      <c r="B7" s="124">
        <v>6.1171195548280002</v>
      </c>
      <c r="C7" s="125">
        <f t="shared" si="0"/>
        <v>1.4036703272384754</v>
      </c>
      <c r="D7" s="126">
        <v>11.277400000000016</v>
      </c>
      <c r="E7" s="125">
        <f t="shared" si="1"/>
        <v>1.8069970623118703</v>
      </c>
      <c r="F7" s="126">
        <v>10.824074999999999</v>
      </c>
      <c r="G7" s="127">
        <f t="shared" si="2"/>
        <v>1.5446665692275761</v>
      </c>
      <c r="H7" s="126">
        <v>15.402123999999999</v>
      </c>
      <c r="I7" s="125">
        <f t="shared" si="3"/>
        <v>1.6157838306153989</v>
      </c>
      <c r="J7" s="126">
        <v>16.723923941985941</v>
      </c>
      <c r="K7" s="128">
        <f t="shared" si="4"/>
        <v>1.4524574212487016</v>
      </c>
      <c r="L7" s="45">
        <v>52.166705293439996</v>
      </c>
      <c r="M7" s="127" t="e">
        <f t="shared" si="5"/>
        <v>#REF!</v>
      </c>
      <c r="N7" s="126">
        <v>93.526898878799997</v>
      </c>
      <c r="O7" s="129" t="e">
        <f t="shared" si="6"/>
        <v>#REF!</v>
      </c>
      <c r="Q7" s="111" t="s">
        <v>79</v>
      </c>
      <c r="R7" s="124">
        <f t="shared" si="7"/>
        <v>6.1171195548280002</v>
      </c>
      <c r="S7" s="46">
        <f t="shared" si="13"/>
        <v>1.4036703272384754</v>
      </c>
      <c r="T7" s="126">
        <f t="shared" si="8"/>
        <v>11.277400000000016</v>
      </c>
      <c r="U7" s="125">
        <f t="shared" si="9"/>
        <v>1.8069970623118703</v>
      </c>
      <c r="V7" s="126">
        <v>15.613379517979155</v>
      </c>
      <c r="W7" s="125">
        <f t="shared" si="10"/>
        <v>2.6785854599044892</v>
      </c>
      <c r="X7" s="46">
        <v>9.7238190000000007</v>
      </c>
      <c r="Y7" s="125">
        <f t="shared" si="10"/>
        <v>1.2947883505023199</v>
      </c>
      <c r="Z7" s="46">
        <v>14.472833999999999</v>
      </c>
      <c r="AA7" s="125">
        <f t="shared" si="11"/>
        <v>1.6597580919091544</v>
      </c>
      <c r="AB7" s="46">
        <v>14.575398999999997</v>
      </c>
      <c r="AC7" s="128">
        <f t="shared" si="12"/>
        <v>1.6045417800574686</v>
      </c>
      <c r="AE7" s="120" t="s">
        <v>264</v>
      </c>
      <c r="AF7" s="132">
        <v>0</v>
      </c>
      <c r="AG7" s="133">
        <v>0</v>
      </c>
      <c r="AH7" s="133">
        <v>0</v>
      </c>
      <c r="AI7" s="133">
        <v>0</v>
      </c>
      <c r="AJ7" s="133">
        <v>0</v>
      </c>
      <c r="AK7" s="133">
        <v>0</v>
      </c>
      <c r="AL7" s="133">
        <v>0</v>
      </c>
      <c r="AM7" s="133">
        <v>0</v>
      </c>
      <c r="AN7" s="133">
        <v>0</v>
      </c>
      <c r="AO7" s="133">
        <v>0</v>
      </c>
      <c r="AP7" s="134">
        <v>0</v>
      </c>
    </row>
    <row r="8" spans="1:42">
      <c r="A8" s="111" t="s">
        <v>80</v>
      </c>
      <c r="B8" s="124">
        <v>9.8550000000000004</v>
      </c>
      <c r="C8" s="125">
        <f t="shared" si="0"/>
        <v>2.2613864174057543</v>
      </c>
      <c r="D8" s="126">
        <v>15.300900000000002</v>
      </c>
      <c r="E8" s="125">
        <f t="shared" si="1"/>
        <v>2.4516893389192242</v>
      </c>
      <c r="F8" s="126">
        <v>26.156264999999998</v>
      </c>
      <c r="G8" s="127">
        <f t="shared" si="2"/>
        <v>3.7326707475102792</v>
      </c>
      <c r="H8" s="126">
        <v>26.442206000000002</v>
      </c>
      <c r="I8" s="125">
        <f t="shared" si="3"/>
        <v>2.7739608446602229</v>
      </c>
      <c r="J8" s="126">
        <v>38.67407411584248</v>
      </c>
      <c r="K8" s="128">
        <f t="shared" si="4"/>
        <v>3.3588077866376214</v>
      </c>
      <c r="L8" s="45">
        <v>65.317118270400002</v>
      </c>
      <c r="M8" s="127" t="e">
        <f t="shared" si="5"/>
        <v>#REF!</v>
      </c>
      <c r="N8" s="126">
        <v>80.941454270400001</v>
      </c>
      <c r="O8" s="129" t="e">
        <f t="shared" si="6"/>
        <v>#REF!</v>
      </c>
      <c r="Q8" s="111" t="s">
        <v>80</v>
      </c>
      <c r="R8" s="124">
        <f t="shared" si="7"/>
        <v>9.8550000000000004</v>
      </c>
      <c r="S8" s="46">
        <f t="shared" si="13"/>
        <v>2.2613864174057543</v>
      </c>
      <c r="T8" s="126">
        <f t="shared" si="8"/>
        <v>15.300900000000002</v>
      </c>
      <c r="U8" s="125">
        <f t="shared" si="9"/>
        <v>2.4516893389192242</v>
      </c>
      <c r="V8" s="126">
        <v>15.864343667077319</v>
      </c>
      <c r="W8" s="125">
        <f t="shared" si="10"/>
        <v>2.7216401310573657</v>
      </c>
      <c r="X8" s="46">
        <v>14.784106</v>
      </c>
      <c r="Y8" s="125">
        <f t="shared" si="10"/>
        <v>1.9685977517055233</v>
      </c>
      <c r="Z8" s="46">
        <v>15.032598000000004</v>
      </c>
      <c r="AA8" s="125">
        <f t="shared" si="11"/>
        <v>1.7239523491333748</v>
      </c>
      <c r="AB8" s="46">
        <v>26.262188000000002</v>
      </c>
      <c r="AC8" s="128">
        <f t="shared" si="12"/>
        <v>2.891089148346738</v>
      </c>
      <c r="AE8" s="135" t="s">
        <v>265</v>
      </c>
      <c r="AF8" s="136">
        <f>SUM(AF5:AF7)</f>
        <v>0.32618257148956242</v>
      </c>
      <c r="AG8" s="137">
        <f t="shared" ref="AG8:AP8" si="14">SUM(AG5:AG7)</f>
        <v>0.43441357412183679</v>
      </c>
      <c r="AH8" s="137">
        <f t="shared" si="14"/>
        <v>0.57259184758674619</v>
      </c>
      <c r="AI8" s="137">
        <f t="shared" si="14"/>
        <v>0.76301588389292885</v>
      </c>
      <c r="AJ8" s="137">
        <f t="shared" si="14"/>
        <v>1.0238598860150858</v>
      </c>
      <c r="AK8" s="137">
        <f t="shared" si="14"/>
        <v>1.3810632915130763</v>
      </c>
      <c r="AL8" s="137">
        <f t="shared" si="14"/>
        <v>1.8708803407245198</v>
      </c>
      <c r="AM8" s="137">
        <f t="shared" si="14"/>
        <v>2.539077087735345</v>
      </c>
      <c r="AN8" s="137">
        <f t="shared" si="14"/>
        <v>3.4926981305860991</v>
      </c>
      <c r="AO8" s="137">
        <f t="shared" si="14"/>
        <v>4.8140559292541596</v>
      </c>
      <c r="AP8" s="138">
        <f t="shared" si="14"/>
        <v>6.5721527094132011</v>
      </c>
    </row>
    <row r="9" spans="1:42">
      <c r="A9" s="139" t="s">
        <v>81</v>
      </c>
      <c r="B9" s="140">
        <v>0.76610638555867172</v>
      </c>
      <c r="C9" s="141">
        <f t="shared" si="0"/>
        <v>0.17579528915171955</v>
      </c>
      <c r="D9" s="142">
        <v>18.364205730874961</v>
      </c>
      <c r="E9" s="141">
        <f t="shared" si="1"/>
        <v>2.9425280478994997</v>
      </c>
      <c r="F9" s="142">
        <v>28.221654000000004</v>
      </c>
      <c r="G9" s="143">
        <f t="shared" si="2"/>
        <v>4.0274153183627899</v>
      </c>
      <c r="H9" s="142">
        <v>55.374545393577606</v>
      </c>
      <c r="I9" s="141">
        <f t="shared" si="3"/>
        <v>5.8091530151699287</v>
      </c>
      <c r="J9" s="142">
        <v>76.302902985310823</v>
      </c>
      <c r="K9" s="144">
        <f t="shared" si="4"/>
        <v>6.6268369844471984</v>
      </c>
      <c r="L9" s="45">
        <v>107.8312511856</v>
      </c>
      <c r="M9" s="127" t="e">
        <f t="shared" si="5"/>
        <v>#REF!</v>
      </c>
      <c r="N9" s="126">
        <v>166.56150137519995</v>
      </c>
      <c r="O9" s="129" t="e">
        <f t="shared" si="6"/>
        <v>#REF!</v>
      </c>
      <c r="Q9" s="139" t="s">
        <v>81</v>
      </c>
      <c r="R9" s="140">
        <f t="shared" si="7"/>
        <v>0.76610638555867172</v>
      </c>
      <c r="S9" s="145">
        <f t="shared" si="13"/>
        <v>0.17579528915171955</v>
      </c>
      <c r="T9" s="142">
        <f t="shared" si="8"/>
        <v>18.364205730874961</v>
      </c>
      <c r="U9" s="141">
        <f t="shared" si="9"/>
        <v>2.9425280478994997</v>
      </c>
      <c r="V9" s="130">
        <v>23.118072281835005</v>
      </c>
      <c r="W9" s="141">
        <f t="shared" si="10"/>
        <v>3.9660684737623706</v>
      </c>
      <c r="X9" s="131">
        <v>29.10002137331205</v>
      </c>
      <c r="Y9" s="141">
        <f t="shared" si="10"/>
        <v>3.8748529434302466</v>
      </c>
      <c r="Z9" s="131">
        <v>36.084516887870457</v>
      </c>
      <c r="AA9" s="141">
        <f t="shared" si="11"/>
        <v>4.1382060277396624</v>
      </c>
      <c r="AB9" s="131">
        <v>39.603285166510055</v>
      </c>
      <c r="AC9" s="144">
        <f t="shared" si="12"/>
        <v>4.3597520505061711</v>
      </c>
    </row>
    <row r="10" spans="1:42">
      <c r="A10" s="139" t="s">
        <v>82</v>
      </c>
      <c r="B10" s="140">
        <v>9.290000000000001E-2</v>
      </c>
      <c r="C10" s="141">
        <f t="shared" si="0"/>
        <v>2.1317381854591033E-2</v>
      </c>
      <c r="D10" s="142">
        <v>12.21</v>
      </c>
      <c r="E10" s="141">
        <f t="shared" si="1"/>
        <v>1.9564291530696709</v>
      </c>
      <c r="F10" s="142">
        <v>56.085899999999846</v>
      </c>
      <c r="G10" s="143">
        <f t="shared" si="2"/>
        <v>8.0038261685216234</v>
      </c>
      <c r="H10" s="142">
        <v>91.833999999999818</v>
      </c>
      <c r="I10" s="141">
        <f t="shared" si="3"/>
        <v>9.6339889420922891</v>
      </c>
      <c r="J10" s="142">
        <v>104.5245246374121</v>
      </c>
      <c r="K10" s="144">
        <f t="shared" si="4"/>
        <v>9.0778588828043816</v>
      </c>
      <c r="L10" s="45">
        <v>216.39704667960001</v>
      </c>
      <c r="M10" s="127" t="e">
        <f t="shared" si="5"/>
        <v>#REF!</v>
      </c>
      <c r="N10" s="126">
        <v>311.49075504120003</v>
      </c>
      <c r="O10" s="129" t="e">
        <f t="shared" si="6"/>
        <v>#REF!</v>
      </c>
      <c r="Q10" s="139" t="s">
        <v>82</v>
      </c>
      <c r="R10" s="140">
        <f t="shared" si="7"/>
        <v>9.290000000000001E-2</v>
      </c>
      <c r="S10" s="145">
        <f t="shared" si="13"/>
        <v>2.1317381854591033E-2</v>
      </c>
      <c r="T10" s="142">
        <f t="shared" si="8"/>
        <v>12.21</v>
      </c>
      <c r="U10" s="141">
        <f t="shared" si="9"/>
        <v>1.9564291530696709</v>
      </c>
      <c r="V10" s="142">
        <v>33.48546115851957</v>
      </c>
      <c r="W10" s="141">
        <f t="shared" si="10"/>
        <v>5.744667211485047</v>
      </c>
      <c r="X10" s="145">
        <v>75.303896128176817</v>
      </c>
      <c r="Y10" s="141">
        <f t="shared" si="10"/>
        <v>10.027192757722052</v>
      </c>
      <c r="Z10" s="145">
        <v>104.04563016260065</v>
      </c>
      <c r="AA10" s="141">
        <f t="shared" si="11"/>
        <v>11.932049838349808</v>
      </c>
      <c r="AB10" s="145">
        <v>111.2310636712066</v>
      </c>
      <c r="AC10" s="144">
        <f t="shared" si="12"/>
        <v>12.244940183159548</v>
      </c>
    </row>
    <row r="11" spans="1:42">
      <c r="A11" s="139" t="s">
        <v>83</v>
      </c>
      <c r="B11" s="140">
        <v>0</v>
      </c>
      <c r="C11" s="141">
        <f t="shared" si="0"/>
        <v>0</v>
      </c>
      <c r="D11" s="142">
        <v>0</v>
      </c>
      <c r="E11" s="141">
        <f t="shared" si="1"/>
        <v>0</v>
      </c>
      <c r="F11" s="142">
        <v>1.7826600000000008</v>
      </c>
      <c r="G11" s="143">
        <f t="shared" si="2"/>
        <v>0.2543972862622656</v>
      </c>
      <c r="H11" s="142">
        <v>12.505630000000004</v>
      </c>
      <c r="I11" s="141">
        <f t="shared" si="3"/>
        <v>1.3119226118202176</v>
      </c>
      <c r="J11" s="142">
        <v>26.131131159353025</v>
      </c>
      <c r="K11" s="144">
        <f t="shared" si="4"/>
        <v>2.2694647207010954</v>
      </c>
      <c r="L11" s="45">
        <v>18.080156448</v>
      </c>
      <c r="M11" s="127" t="e">
        <f t="shared" si="5"/>
        <v>#REF!</v>
      </c>
      <c r="N11" s="126">
        <v>32.613364367999999</v>
      </c>
      <c r="O11" s="129" t="e">
        <f t="shared" si="6"/>
        <v>#REF!</v>
      </c>
      <c r="P11" s="146" t="s">
        <v>266</v>
      </c>
      <c r="Q11" s="139" t="s">
        <v>83</v>
      </c>
      <c r="R11" s="140">
        <f t="shared" si="7"/>
        <v>0</v>
      </c>
      <c r="S11" s="145">
        <f t="shared" si="13"/>
        <v>0</v>
      </c>
      <c r="T11" s="142">
        <f t="shared" si="8"/>
        <v>0</v>
      </c>
      <c r="U11" s="141">
        <f t="shared" si="9"/>
        <v>0</v>
      </c>
      <c r="V11" s="130">
        <v>-1.7100638383927527E-2</v>
      </c>
      <c r="W11" s="141">
        <f t="shared" si="10"/>
        <v>-2.9337352158465627E-3</v>
      </c>
      <c r="X11" s="131">
        <v>9.633028151417621</v>
      </c>
      <c r="Y11" s="141">
        <f t="shared" si="10"/>
        <v>1.2826989715168939</v>
      </c>
      <c r="Z11" s="131">
        <v>15.882375824565209</v>
      </c>
      <c r="AA11" s="141">
        <f t="shared" si="11"/>
        <v>1.8214056620537784</v>
      </c>
      <c r="AB11" s="131">
        <v>21.193298931541538</v>
      </c>
      <c r="AC11" s="144">
        <f t="shared" si="12"/>
        <v>2.3330773718719953</v>
      </c>
    </row>
    <row r="12" spans="1:42">
      <c r="A12" s="147" t="s">
        <v>267</v>
      </c>
      <c r="B12" s="148">
        <v>9.3271191235964874</v>
      </c>
      <c r="C12" s="149">
        <f t="shared" si="0"/>
        <v>2.1402557584603308</v>
      </c>
      <c r="D12" s="150">
        <v>39.200594269125041</v>
      </c>
      <c r="E12" s="149">
        <f t="shared" si="1"/>
        <v>6.2811781691869033</v>
      </c>
      <c r="F12" s="150">
        <v>4.8910000000000009</v>
      </c>
      <c r="G12" s="151">
        <f t="shared" si="2"/>
        <v>0.69797781243127721</v>
      </c>
      <c r="H12" s="150">
        <v>4.9608609999999986</v>
      </c>
      <c r="I12" s="149">
        <f t="shared" si="3"/>
        <v>0.52042685734321692</v>
      </c>
      <c r="J12" s="150">
        <v>4.1809809854964852</v>
      </c>
      <c r="K12" s="152">
        <f t="shared" si="4"/>
        <v>0.3631143553121754</v>
      </c>
      <c r="L12" s="2">
        <v>4.9033558570680009</v>
      </c>
      <c r="M12" s="151" t="e">
        <f t="shared" si="5"/>
        <v>#REF!</v>
      </c>
      <c r="N12" s="150">
        <v>4.9725536374679997</v>
      </c>
      <c r="O12" s="153" t="e">
        <f t="shared" si="6"/>
        <v>#REF!</v>
      </c>
      <c r="Q12" s="147" t="s">
        <v>267</v>
      </c>
      <c r="R12" s="148">
        <f t="shared" si="7"/>
        <v>9.3271191235964874</v>
      </c>
      <c r="S12" s="154">
        <f t="shared" si="13"/>
        <v>2.1402557584603308</v>
      </c>
      <c r="T12" s="150">
        <f t="shared" si="8"/>
        <v>39.200594269125041</v>
      </c>
      <c r="U12" s="149">
        <f t="shared" si="9"/>
        <v>6.2811781691869033</v>
      </c>
      <c r="V12" s="155">
        <v>11.231197795460352</v>
      </c>
      <c r="W12" s="156">
        <f t="shared" si="10"/>
        <v>1.9267912547433677</v>
      </c>
      <c r="X12" s="157">
        <v>3.7255550000000004</v>
      </c>
      <c r="Y12" s="156">
        <f t="shared" si="10"/>
        <v>0.49608134552439431</v>
      </c>
      <c r="Z12" s="157">
        <v>3.7189119999999996</v>
      </c>
      <c r="AA12" s="156">
        <f t="shared" si="11"/>
        <v>0.4264882942137011</v>
      </c>
      <c r="AB12" s="157">
        <v>3.7175249999999997</v>
      </c>
      <c r="AC12" s="158">
        <f t="shared" si="12"/>
        <v>0.40924603030820228</v>
      </c>
    </row>
    <row r="13" spans="1:42" ht="18.75" customHeight="1" thickBot="1">
      <c r="A13" s="159" t="s">
        <v>268</v>
      </c>
      <c r="B13" s="160">
        <f t="shared" ref="B13:O13" si="15">SUM(B5:B12)</f>
        <v>413.25327298207748</v>
      </c>
      <c r="C13" s="161">
        <f>SUM(C5:C12)</f>
        <v>94.827533076625315</v>
      </c>
      <c r="D13" s="162">
        <f t="shared" si="15"/>
        <v>571.74260000000004</v>
      </c>
      <c r="E13" s="161">
        <f>SUM(E5:E12)</f>
        <v>91.611293258955911</v>
      </c>
      <c r="F13" s="163">
        <f t="shared" si="15"/>
        <v>700.05883099999949</v>
      </c>
      <c r="G13" s="161">
        <f>SUM(G5:G12)</f>
        <v>99.902991501651371</v>
      </c>
      <c r="H13" s="163">
        <f t="shared" si="15"/>
        <v>857.79637039357726</v>
      </c>
      <c r="I13" s="161">
        <f>SUM(I5:I12)</f>
        <v>89.988465567639878</v>
      </c>
      <c r="J13" s="163">
        <f t="shared" si="15"/>
        <v>1032.7023034176316</v>
      </c>
      <c r="K13" s="164">
        <f>SUM(K5:K12)</f>
        <v>89.689245762107291</v>
      </c>
      <c r="L13" s="165">
        <f t="shared" si="15"/>
        <v>1306.7467822511878</v>
      </c>
      <c r="M13" s="166" t="e">
        <f>SUM(M5:M12)</f>
        <v>#REF!</v>
      </c>
      <c r="N13" s="167">
        <f t="shared" si="15"/>
        <v>1617.8187078778683</v>
      </c>
      <c r="O13" s="168" t="e">
        <f t="shared" si="15"/>
        <v>#REF!</v>
      </c>
      <c r="Q13" s="169" t="s">
        <v>269</v>
      </c>
      <c r="R13" s="160">
        <f t="shared" ref="R13:AC13" si="16">SUM(R5:R12)</f>
        <v>413.25327298207748</v>
      </c>
      <c r="S13" s="170">
        <f t="shared" si="16"/>
        <v>94.827533076625315</v>
      </c>
      <c r="T13" s="162">
        <f t="shared" si="16"/>
        <v>571.74260000000004</v>
      </c>
      <c r="U13" s="161">
        <f t="shared" si="16"/>
        <v>91.611293258955911</v>
      </c>
      <c r="V13" s="163">
        <f t="shared" si="16"/>
        <v>522.06335262527557</v>
      </c>
      <c r="W13" s="161">
        <f t="shared" si="16"/>
        <v>89.563653011878344</v>
      </c>
      <c r="X13" s="163">
        <f t="shared" si="16"/>
        <v>675.37363710390343</v>
      </c>
      <c r="Y13" s="161">
        <f t="shared" si="16"/>
        <v>89.930295654260462</v>
      </c>
      <c r="Z13" s="163">
        <f t="shared" si="16"/>
        <v>778.18885121768369</v>
      </c>
      <c r="AA13" s="161">
        <f t="shared" si="16"/>
        <v>89.243422735453137</v>
      </c>
      <c r="AB13" s="163">
        <f t="shared" si="16"/>
        <v>809.39219097569332</v>
      </c>
      <c r="AC13" s="164">
        <f t="shared" si="16"/>
        <v>89.102438078899482</v>
      </c>
    </row>
    <row r="14" spans="1:42">
      <c r="A14" s="650" t="s">
        <v>86</v>
      </c>
      <c r="B14" s="645">
        <v>2005</v>
      </c>
      <c r="C14" s="646"/>
      <c r="D14" s="647">
        <v>2014</v>
      </c>
      <c r="E14" s="648"/>
      <c r="F14" s="647">
        <v>2020</v>
      </c>
      <c r="G14" s="648"/>
      <c r="H14" s="647">
        <v>2025</v>
      </c>
      <c r="I14" s="648"/>
      <c r="J14" s="647">
        <v>2030</v>
      </c>
      <c r="K14" s="649"/>
      <c r="L14" s="171"/>
      <c r="M14" s="172"/>
      <c r="N14" s="173"/>
      <c r="O14" s="174"/>
      <c r="Q14" s="643" t="s">
        <v>270</v>
      </c>
      <c r="R14" s="645">
        <v>2005</v>
      </c>
      <c r="S14" s="646"/>
      <c r="T14" s="647">
        <v>2014</v>
      </c>
      <c r="U14" s="648"/>
      <c r="V14" s="647">
        <v>2016</v>
      </c>
      <c r="W14" s="648"/>
      <c r="X14" s="647">
        <v>2021</v>
      </c>
      <c r="Y14" s="648"/>
      <c r="Z14" s="647">
        <v>2025</v>
      </c>
      <c r="AA14" s="648"/>
      <c r="AB14" s="647">
        <v>2026</v>
      </c>
      <c r="AC14" s="649"/>
    </row>
    <row r="15" spans="1:42" ht="13.9" thickBot="1">
      <c r="A15" s="651"/>
      <c r="B15" s="103" t="s">
        <v>76</v>
      </c>
      <c r="C15" s="104" t="s">
        <v>56</v>
      </c>
      <c r="D15" s="105" t="s">
        <v>76</v>
      </c>
      <c r="E15" s="106" t="s">
        <v>56</v>
      </c>
      <c r="F15" s="105" t="s">
        <v>76</v>
      </c>
      <c r="G15" s="106" t="s">
        <v>56</v>
      </c>
      <c r="H15" s="105" t="s">
        <v>76</v>
      </c>
      <c r="I15" s="106" t="s">
        <v>56</v>
      </c>
      <c r="J15" s="105" t="s">
        <v>76</v>
      </c>
      <c r="K15" s="107" t="s">
        <v>56</v>
      </c>
      <c r="L15" s="45"/>
      <c r="M15" s="125"/>
      <c r="N15" s="126"/>
      <c r="O15" s="128"/>
      <c r="Q15" s="644"/>
      <c r="R15" s="103" t="s">
        <v>76</v>
      </c>
      <c r="S15" s="104" t="s">
        <v>56</v>
      </c>
      <c r="T15" s="105" t="s">
        <v>76</v>
      </c>
      <c r="U15" s="106" t="s">
        <v>56</v>
      </c>
      <c r="V15" s="105" t="s">
        <v>76</v>
      </c>
      <c r="W15" s="106" t="s">
        <v>56</v>
      </c>
      <c r="X15" s="105" t="s">
        <v>76</v>
      </c>
      <c r="Y15" s="106" t="s">
        <v>56</v>
      </c>
      <c r="Z15" s="105" t="s">
        <v>76</v>
      </c>
      <c r="AA15" s="106" t="s">
        <v>56</v>
      </c>
      <c r="AB15" s="105" t="s">
        <v>76</v>
      </c>
      <c r="AC15" s="107" t="s">
        <v>56</v>
      </c>
    </row>
    <row r="16" spans="1:42" ht="13.9" thickTop="1">
      <c r="A16" s="139" t="s">
        <v>271</v>
      </c>
      <c r="B16" s="140">
        <v>8.0812186679706475</v>
      </c>
      <c r="C16" s="141">
        <f>B16/B$21*100</f>
        <v>1.8543640925250782</v>
      </c>
      <c r="D16" s="142">
        <v>22.910200000000003</v>
      </c>
      <c r="E16" s="141">
        <f>D16/D$21*100</f>
        <v>3.6709404736000635</v>
      </c>
      <c r="F16" s="142"/>
      <c r="G16" s="143"/>
      <c r="H16" s="142">
        <v>47.02818887028981</v>
      </c>
      <c r="I16" s="141">
        <f>H16/H$21*100</f>
        <v>4.9335654718622797</v>
      </c>
      <c r="J16" s="142">
        <v>57.846243880570526</v>
      </c>
      <c r="K16" s="144">
        <f>J16/J$21*100</f>
        <v>5.0238931070933699</v>
      </c>
      <c r="L16" s="45"/>
      <c r="M16" s="125"/>
      <c r="N16" s="126"/>
      <c r="O16" s="128"/>
      <c r="Q16" s="139" t="s">
        <v>271</v>
      </c>
      <c r="R16" s="140">
        <f>B16</f>
        <v>8.0812186679706475</v>
      </c>
      <c r="S16" s="145">
        <f>R16/R$21*100</f>
        <v>1.8543640925250782</v>
      </c>
      <c r="T16" s="142">
        <f>D16</f>
        <v>22.910200000000003</v>
      </c>
      <c r="U16" s="141">
        <f>T16/T$21*100</f>
        <v>3.6709404736000635</v>
      </c>
      <c r="V16" s="142">
        <v>26.993421845653749</v>
      </c>
      <c r="W16" s="141">
        <f>V16/V$21*100</f>
        <v>4.6309120447355072</v>
      </c>
      <c r="X16" s="145">
        <v>36.534217034007455</v>
      </c>
      <c r="Y16" s="141">
        <f>X16/X$21*100</f>
        <v>4.8647633826129697</v>
      </c>
      <c r="Z16" s="145">
        <v>42.514029761617003</v>
      </c>
      <c r="AA16" s="141">
        <f>Z16/Z$21*100</f>
        <v>4.8755485564548344</v>
      </c>
      <c r="AB16" s="145">
        <v>43.922125747921989</v>
      </c>
      <c r="AC16" s="144">
        <f>AB16/AB$21*100</f>
        <v>4.8351942771157574</v>
      </c>
    </row>
    <row r="17" spans="1:42">
      <c r="A17" s="139" t="s">
        <v>88</v>
      </c>
      <c r="B17" s="140">
        <v>0</v>
      </c>
      <c r="C17" s="141">
        <f>B17/B$21*100</f>
        <v>0</v>
      </c>
      <c r="D17" s="142">
        <v>0</v>
      </c>
      <c r="E17" s="141">
        <f>D17/D$21*100</f>
        <v>0</v>
      </c>
      <c r="F17" s="142">
        <v>0.67977600000000005</v>
      </c>
      <c r="G17" s="143">
        <f>F17/F$21*100</f>
        <v>9.7008498348657504E-2</v>
      </c>
      <c r="H17" s="142">
        <v>2.5487220000000002</v>
      </c>
      <c r="I17" s="141">
        <f>H17/H$21*100</f>
        <v>0.26737765494770338</v>
      </c>
      <c r="J17" s="142">
        <v>9.4072072173670893</v>
      </c>
      <c r="K17" s="144">
        <f>J17/J$21*100</f>
        <v>0.81700729945239448</v>
      </c>
      <c r="L17" s="45"/>
      <c r="M17" s="125"/>
      <c r="N17" s="126"/>
      <c r="O17" s="128"/>
      <c r="Q17" s="139" t="s">
        <v>88</v>
      </c>
      <c r="R17" s="140">
        <f>B17</f>
        <v>0</v>
      </c>
      <c r="S17" s="145">
        <f>R17/R$21*100</f>
        <v>0</v>
      </c>
      <c r="T17" s="142">
        <f>D17</f>
        <v>0</v>
      </c>
      <c r="U17" s="141">
        <f>T17/T$21*100</f>
        <v>0</v>
      </c>
      <c r="V17" s="142">
        <v>0.10236122997490128</v>
      </c>
      <c r="W17" s="141">
        <f>V17/V$21*100</f>
        <v>1.7560791496356181E-2</v>
      </c>
      <c r="X17" s="145">
        <v>0.61027089151307634</v>
      </c>
      <c r="Y17" s="141">
        <f>X17/X$21*100</f>
        <v>8.1261450977419075E-2</v>
      </c>
      <c r="Z17" s="145">
        <v>3.1209231292541597</v>
      </c>
      <c r="AA17" s="141">
        <f>Z17/Z$21*100</f>
        <v>0.35791037318648378</v>
      </c>
      <c r="AB17" s="145">
        <v>4.5352775094132012</v>
      </c>
      <c r="AC17" s="144">
        <f>AB17/AB$21*100</f>
        <v>0.49926881919379779</v>
      </c>
      <c r="AE17" s="652" t="s">
        <v>272</v>
      </c>
      <c r="AF17" s="101">
        <v>2016</v>
      </c>
      <c r="AG17" s="101">
        <v>2017</v>
      </c>
      <c r="AH17" s="101">
        <v>2018</v>
      </c>
      <c r="AI17" s="101">
        <v>2019</v>
      </c>
      <c r="AJ17" s="101">
        <v>2020</v>
      </c>
      <c r="AK17" s="101">
        <v>2021</v>
      </c>
      <c r="AL17" s="101">
        <v>2022</v>
      </c>
      <c r="AM17" s="101">
        <v>2023</v>
      </c>
      <c r="AN17" s="101">
        <v>2024</v>
      </c>
      <c r="AO17" s="101">
        <v>2025</v>
      </c>
      <c r="AP17" s="102">
        <v>2026</v>
      </c>
    </row>
    <row r="18" spans="1:42">
      <c r="A18" s="111" t="s">
        <v>89</v>
      </c>
      <c r="B18" s="124">
        <v>1.9156626320240799</v>
      </c>
      <c r="C18" s="125">
        <f>B18/B$21*100</f>
        <v>0.43957924468706366</v>
      </c>
      <c r="D18" s="126">
        <v>3.3357999999999883</v>
      </c>
      <c r="E18" s="125">
        <f>D18/D$21*100</f>
        <v>0.53450093110645247</v>
      </c>
      <c r="F18" s="126"/>
      <c r="G18" s="127"/>
      <c r="H18" s="126">
        <v>6.4041885276135098</v>
      </c>
      <c r="I18" s="125">
        <f>H18/H$21*100</f>
        <v>0.67184138182049102</v>
      </c>
      <c r="J18" s="126">
        <v>7.2201776371198934</v>
      </c>
      <c r="K18" s="128">
        <f>J18/J$21*100</f>
        <v>0.62706579078853353</v>
      </c>
      <c r="L18" s="45"/>
      <c r="M18" s="125"/>
      <c r="N18" s="126"/>
      <c r="O18" s="128"/>
      <c r="Q18" s="111" t="s">
        <v>89</v>
      </c>
      <c r="R18" s="124">
        <f>B18</f>
        <v>1.9156626320240799</v>
      </c>
      <c r="S18" s="46">
        <f>R18/R$21*100</f>
        <v>0.43957924468706366</v>
      </c>
      <c r="T18" s="126">
        <f>D18</f>
        <v>3.3357999999999883</v>
      </c>
      <c r="U18" s="125">
        <f>T18/T$21*100</f>
        <v>0.53450093110645247</v>
      </c>
      <c r="V18" s="126">
        <v>3.5188446744491304</v>
      </c>
      <c r="W18" s="125">
        <f>V18/V$21*100</f>
        <v>0.60368264089065937</v>
      </c>
      <c r="X18" s="46">
        <v>3.7962418837695231</v>
      </c>
      <c r="Y18" s="125">
        <f>X18/X$21*100</f>
        <v>0.50549375371896166</v>
      </c>
      <c r="Z18" s="46">
        <v>5.0764549624232984</v>
      </c>
      <c r="AA18" s="125">
        <f>Z18/Z$21*100</f>
        <v>0.58217258638456382</v>
      </c>
      <c r="AB18" s="46">
        <v>5.4059435110238905</v>
      </c>
      <c r="AC18" s="128">
        <f>AB18/AB$21*100</f>
        <v>0.59511662247245489</v>
      </c>
      <c r="AE18" s="653"/>
      <c r="AF18" s="637" t="s">
        <v>76</v>
      </c>
      <c r="AG18" s="638"/>
      <c r="AH18" s="638"/>
      <c r="AI18" s="638"/>
      <c r="AJ18" s="638"/>
      <c r="AK18" s="638"/>
      <c r="AL18" s="638"/>
      <c r="AM18" s="638"/>
      <c r="AN18" s="638"/>
      <c r="AO18" s="638"/>
      <c r="AP18" s="639"/>
    </row>
    <row r="19" spans="1:42">
      <c r="A19" s="147" t="s">
        <v>90</v>
      </c>
      <c r="B19" s="148">
        <v>12.544450485457213</v>
      </c>
      <c r="C19" s="149">
        <f>B19/B$21*100</f>
        <v>2.8785235861625535</v>
      </c>
      <c r="D19" s="150">
        <v>26.107599999999998</v>
      </c>
      <c r="E19" s="149">
        <f>D19/D$21*100</f>
        <v>4.1832653363375698</v>
      </c>
      <c r="F19" s="150"/>
      <c r="G19" s="151"/>
      <c r="H19" s="150">
        <v>39.451774626309934</v>
      </c>
      <c r="I19" s="149">
        <f>H19/H$21*100</f>
        <v>4.138749923729641</v>
      </c>
      <c r="J19" s="150">
        <v>44.246732451696118</v>
      </c>
      <c r="K19" s="152">
        <f>J19/J$21*100</f>
        <v>3.8427880405583954</v>
      </c>
      <c r="L19" s="45"/>
      <c r="M19" s="125"/>
      <c r="N19" s="126"/>
      <c r="O19" s="128"/>
      <c r="Q19" s="147" t="s">
        <v>90</v>
      </c>
      <c r="R19" s="148">
        <f>B19</f>
        <v>12.544450485457213</v>
      </c>
      <c r="S19" s="154">
        <f>R19/R$21*100</f>
        <v>2.8785235861625535</v>
      </c>
      <c r="T19" s="150">
        <f>D19</f>
        <v>26.107599999999998</v>
      </c>
      <c r="U19" s="149">
        <f>T19/T$21*100</f>
        <v>4.1832653363375698</v>
      </c>
      <c r="V19" s="175">
        <v>30.218468205230025</v>
      </c>
      <c r="W19" s="149">
        <f>V19/V$21*100</f>
        <v>5.1841915109991321</v>
      </c>
      <c r="X19" s="176">
        <v>34.682426981931869</v>
      </c>
      <c r="Y19" s="149">
        <f>X19/X$21*100</f>
        <v>4.6181857584301715</v>
      </c>
      <c r="Z19" s="176">
        <v>43.084283167491613</v>
      </c>
      <c r="AA19" s="149">
        <f>Z19/Z$21*100</f>
        <v>4.9409457485209582</v>
      </c>
      <c r="AB19" s="176">
        <v>45.128349865154192</v>
      </c>
      <c r="AC19" s="152">
        <f>AB19/AB$21*100</f>
        <v>4.9679822023184919</v>
      </c>
      <c r="AE19" s="135" t="s">
        <v>265</v>
      </c>
      <c r="AF19" s="136">
        <v>3.2666863522118601</v>
      </c>
      <c r="AG19" s="137"/>
      <c r="AH19" s="137"/>
      <c r="AI19" s="137"/>
      <c r="AJ19" s="137"/>
      <c r="AK19" s="137">
        <v>4.5025385086203604</v>
      </c>
      <c r="AL19" s="137"/>
      <c r="AM19" s="137"/>
      <c r="AN19" s="137"/>
      <c r="AO19" s="137">
        <v>4.9212423384803312</v>
      </c>
      <c r="AP19" s="138">
        <v>5.3108194178764387</v>
      </c>
    </row>
    <row r="20" spans="1:42" ht="18.75" customHeight="1" thickBot="1">
      <c r="A20" s="159" t="s">
        <v>273</v>
      </c>
      <c r="B20" s="160">
        <f>SUM(B16:B19)</f>
        <v>22.541331785451941</v>
      </c>
      <c r="C20" s="161">
        <f t="shared" ref="C20:O20" si="17">SUM(C16:C19)</f>
        <v>5.1724669233746958</v>
      </c>
      <c r="D20" s="162">
        <f t="shared" si="17"/>
        <v>52.353599999999986</v>
      </c>
      <c r="E20" s="161">
        <f t="shared" si="17"/>
        <v>8.3887067410440856</v>
      </c>
      <c r="F20" s="163">
        <f t="shared" si="17"/>
        <v>0.67977600000000005</v>
      </c>
      <c r="G20" s="161">
        <f t="shared" si="17"/>
        <v>9.7008498348657504E-2</v>
      </c>
      <c r="H20" s="163">
        <f t="shared" si="17"/>
        <v>95.432874024213248</v>
      </c>
      <c r="I20" s="161">
        <f t="shared" si="17"/>
        <v>10.011534432360115</v>
      </c>
      <c r="J20" s="163">
        <f t="shared" si="17"/>
        <v>118.72036118675362</v>
      </c>
      <c r="K20" s="164">
        <f t="shared" si="17"/>
        <v>10.310754237892693</v>
      </c>
      <c r="L20" s="124">
        <f t="shared" si="17"/>
        <v>0</v>
      </c>
      <c r="M20" s="124">
        <f t="shared" si="17"/>
        <v>0</v>
      </c>
      <c r="N20" s="124">
        <f t="shared" si="17"/>
        <v>0</v>
      </c>
      <c r="O20" s="124">
        <f t="shared" si="17"/>
        <v>0</v>
      </c>
      <c r="Q20" s="169" t="s">
        <v>274</v>
      </c>
      <c r="R20" s="160">
        <f>SUM(R16:R19)</f>
        <v>22.541331785451941</v>
      </c>
      <c r="S20" s="161">
        <f t="shared" ref="S20:AC20" si="18">SUM(S16:S19)</f>
        <v>5.1724669233746958</v>
      </c>
      <c r="T20" s="162">
        <f t="shared" si="18"/>
        <v>52.353599999999986</v>
      </c>
      <c r="U20" s="161">
        <f t="shared" si="18"/>
        <v>8.3887067410440856</v>
      </c>
      <c r="V20" s="163">
        <f>SUM(V16:V19)</f>
        <v>60.833095955307805</v>
      </c>
      <c r="W20" s="161">
        <f>SUM(W16:W19)</f>
        <v>10.436346988121656</v>
      </c>
      <c r="X20" s="163">
        <f>SUM(X16:X19)</f>
        <v>75.62315679122193</v>
      </c>
      <c r="Y20" s="161">
        <f>SUM(Y16:Y19)</f>
        <v>10.069704345739522</v>
      </c>
      <c r="Z20" s="163">
        <f t="shared" si="18"/>
        <v>93.79569102078608</v>
      </c>
      <c r="AA20" s="161">
        <f t="shared" si="18"/>
        <v>10.756577264546841</v>
      </c>
      <c r="AB20" s="163">
        <f t="shared" si="18"/>
        <v>98.991696633513271</v>
      </c>
      <c r="AC20" s="164">
        <f t="shared" si="18"/>
        <v>10.897561921100502</v>
      </c>
    </row>
    <row r="21" spans="1:42" ht="19.5" customHeight="1" thickBot="1">
      <c r="A21" s="177" t="s">
        <v>92</v>
      </c>
      <c r="B21" s="178">
        <f>B13+B20</f>
        <v>435.79460476752939</v>
      </c>
      <c r="C21" s="179">
        <f>C13+C20</f>
        <v>100.00000000000001</v>
      </c>
      <c r="D21" s="178">
        <f>D13+D20</f>
        <v>624.09620000000007</v>
      </c>
      <c r="E21" s="179">
        <f>E13+E20</f>
        <v>100</v>
      </c>
      <c r="F21" s="180">
        <f>F13+SUM(F16:F19)</f>
        <v>700.73860699999943</v>
      </c>
      <c r="G21" s="179">
        <f>G13+SUM(G16:G19)</f>
        <v>100.00000000000003</v>
      </c>
      <c r="H21" s="178">
        <f>H13+H20</f>
        <v>953.22924441779048</v>
      </c>
      <c r="I21" s="179">
        <f>I13+I20</f>
        <v>100</v>
      </c>
      <c r="J21" s="178">
        <f>J13+J20</f>
        <v>1151.4226646043853</v>
      </c>
      <c r="K21" s="179">
        <f>K13+K20</f>
        <v>99.999999999999986</v>
      </c>
      <c r="L21" s="181" t="e">
        <f>L13+#REF!+#REF!</f>
        <v>#REF!</v>
      </c>
      <c r="M21" s="182" t="e">
        <f>M13+#REF!+#REF!</f>
        <v>#REF!</v>
      </c>
      <c r="N21" s="183" t="e">
        <f>N13+#REF!+#REF!</f>
        <v>#REF!</v>
      </c>
      <c r="O21" s="184" t="e">
        <f>O13+#REF!+#REF!</f>
        <v>#REF!</v>
      </c>
      <c r="Q21" s="169" t="s">
        <v>275</v>
      </c>
      <c r="R21" s="178">
        <f t="shared" ref="R21:AC21" si="19">R13+R20</f>
        <v>435.79460476752939</v>
      </c>
      <c r="S21" s="179">
        <f t="shared" si="19"/>
        <v>100.00000000000001</v>
      </c>
      <c r="T21" s="178">
        <f t="shared" si="19"/>
        <v>624.09620000000007</v>
      </c>
      <c r="U21" s="179">
        <f t="shared" si="19"/>
        <v>100</v>
      </c>
      <c r="V21" s="185">
        <f t="shared" si="19"/>
        <v>582.89644858058341</v>
      </c>
      <c r="W21" s="186">
        <f t="shared" si="19"/>
        <v>100</v>
      </c>
      <c r="X21" s="185">
        <f>X13+X20</f>
        <v>750.99679389512539</v>
      </c>
      <c r="Y21" s="186">
        <f>Y13+Y20</f>
        <v>99.999999999999986</v>
      </c>
      <c r="Z21" s="185">
        <f t="shared" si="19"/>
        <v>871.98454223846977</v>
      </c>
      <c r="AA21" s="186">
        <f t="shared" si="19"/>
        <v>99.999999999999972</v>
      </c>
      <c r="AB21" s="185">
        <f t="shared" si="19"/>
        <v>908.38388760920657</v>
      </c>
      <c r="AC21" s="187">
        <f t="shared" si="19"/>
        <v>99.999999999999986</v>
      </c>
    </row>
    <row r="22" spans="1:42" ht="18.75" hidden="1" customHeight="1" thickBot="1">
      <c r="A22" s="188" t="s">
        <v>276</v>
      </c>
      <c r="B22" s="189">
        <f>B9+B10+B11+B16+B17</f>
        <v>8.9402250535293195</v>
      </c>
      <c r="C22" s="190">
        <f>C9+C10+C11+C16+C17</f>
        <v>2.0514767635313889</v>
      </c>
      <c r="D22" s="191">
        <f>D9+D10+D11+D16+D17</f>
        <v>53.484405730874968</v>
      </c>
      <c r="E22" s="190">
        <f>E9+E10+E11+E16+E17</f>
        <v>8.5698976745692335</v>
      </c>
      <c r="F22" s="191">
        <f>F11+F12+F13+F19</f>
        <v>706.73249099999953</v>
      </c>
      <c r="G22" s="192">
        <f>G11+G12+G13+G19</f>
        <v>100.85536660034491</v>
      </c>
      <c r="H22" s="191">
        <f>H9+H10+H11+H16+H17</f>
        <v>209.29108626386721</v>
      </c>
      <c r="I22" s="190">
        <f>I9+I10+I11+I16+I17</f>
        <v>21.956007695892421</v>
      </c>
      <c r="J22" s="191">
        <f>J9+J10+J11+J16+J17</f>
        <v>274.21200988001357</v>
      </c>
      <c r="K22" s="193">
        <f>K9+K10+K11+K16+K17</f>
        <v>23.815060994498442</v>
      </c>
      <c r="Q22" s="188" t="s">
        <v>276</v>
      </c>
      <c r="R22" s="189">
        <f t="shared" ref="R22:AC22" si="20">R9+R10+R11+R16+R17</f>
        <v>8.9402250535293195</v>
      </c>
      <c r="S22" s="190">
        <f t="shared" si="20"/>
        <v>2.0514767635313889</v>
      </c>
      <c r="T22" s="191">
        <f t="shared" si="20"/>
        <v>53.484405730874968</v>
      </c>
      <c r="U22" s="190">
        <f t="shared" si="20"/>
        <v>8.5698976745692335</v>
      </c>
      <c r="V22" s="191">
        <f t="shared" si="20"/>
        <v>83.68221587759929</v>
      </c>
      <c r="W22" s="190">
        <f t="shared" si="20"/>
        <v>14.356274786263436</v>
      </c>
      <c r="X22" s="191">
        <f>X9+X10+X11+X16+X17</f>
        <v>151.181433578427</v>
      </c>
      <c r="Y22" s="190">
        <f>Y9+Y10+Y11+Y16+Y17</f>
        <v>20.130769506259579</v>
      </c>
      <c r="Z22" s="191">
        <f t="shared" si="20"/>
        <v>201.64747576590744</v>
      </c>
      <c r="AA22" s="190">
        <f t="shared" si="20"/>
        <v>23.125120457784568</v>
      </c>
      <c r="AB22" s="191">
        <f t="shared" si="20"/>
        <v>220.48505102659337</v>
      </c>
      <c r="AC22" s="193">
        <f t="shared" si="20"/>
        <v>24.272232701847269</v>
      </c>
    </row>
    <row r="23" spans="1:42" ht="12.75" customHeight="1">
      <c r="Q23" s="24" t="s">
        <v>277</v>
      </c>
    </row>
    <row r="24" spans="1:42" ht="18.75" hidden="1" customHeight="1">
      <c r="C24" s="100" t="s">
        <v>258</v>
      </c>
      <c r="Z24" s="100" t="s">
        <v>259</v>
      </c>
    </row>
    <row r="25" spans="1:42" ht="15" hidden="1" customHeight="1" thickBot="1"/>
    <row r="26" spans="1:42" ht="18.75" hidden="1" customHeight="1">
      <c r="A26" s="650" t="s">
        <v>75</v>
      </c>
      <c r="B26" s="645">
        <v>2005</v>
      </c>
      <c r="C26" s="646"/>
      <c r="D26" s="647">
        <v>2014</v>
      </c>
      <c r="E26" s="648"/>
      <c r="F26" s="647">
        <v>2020</v>
      </c>
      <c r="G26" s="648"/>
      <c r="H26" s="647">
        <v>2025</v>
      </c>
      <c r="I26" s="648"/>
      <c r="J26" s="647">
        <v>2030</v>
      </c>
      <c r="K26" s="649"/>
      <c r="Q26" s="650" t="s">
        <v>75</v>
      </c>
      <c r="R26" s="645">
        <v>2005</v>
      </c>
      <c r="S26" s="646"/>
      <c r="T26" s="647">
        <v>2014</v>
      </c>
      <c r="U26" s="648"/>
      <c r="V26" s="647">
        <v>2015</v>
      </c>
      <c r="W26" s="648"/>
      <c r="X26" s="194"/>
      <c r="Y26" s="194"/>
      <c r="Z26" s="647">
        <v>2025</v>
      </c>
      <c r="AA26" s="648"/>
      <c r="AB26" s="647">
        <v>2030</v>
      </c>
      <c r="AC26" s="649"/>
    </row>
    <row r="27" spans="1:42" ht="19.5" hidden="1" customHeight="1" thickBot="1">
      <c r="A27" s="651"/>
      <c r="B27" s="103" t="s">
        <v>76</v>
      </c>
      <c r="C27" s="104" t="s">
        <v>56</v>
      </c>
      <c r="D27" s="105" t="s">
        <v>76</v>
      </c>
      <c r="E27" s="106" t="s">
        <v>56</v>
      </c>
      <c r="F27" s="105" t="s">
        <v>76</v>
      </c>
      <c r="G27" s="106" t="s">
        <v>56</v>
      </c>
      <c r="H27" s="105" t="s">
        <v>76</v>
      </c>
      <c r="I27" s="106" t="s">
        <v>56</v>
      </c>
      <c r="J27" s="105" t="s">
        <v>76</v>
      </c>
      <c r="K27" s="107" t="s">
        <v>56</v>
      </c>
      <c r="Q27" s="651"/>
      <c r="R27" s="103" t="s">
        <v>76</v>
      </c>
      <c r="S27" s="104" t="s">
        <v>56</v>
      </c>
      <c r="T27" s="105" t="s">
        <v>76</v>
      </c>
      <c r="U27" s="106" t="s">
        <v>56</v>
      </c>
      <c r="V27" s="105" t="s">
        <v>76</v>
      </c>
      <c r="W27" s="106" t="s">
        <v>56</v>
      </c>
      <c r="X27" s="104"/>
      <c r="Y27" s="104"/>
      <c r="Z27" s="105" t="s">
        <v>76</v>
      </c>
      <c r="AA27" s="106" t="s">
        <v>56</v>
      </c>
      <c r="AB27" s="105" t="s">
        <v>76</v>
      </c>
      <c r="AC27" s="107" t="s">
        <v>56</v>
      </c>
    </row>
    <row r="28" spans="1:42" ht="12.75" hidden="1" customHeight="1" thickTop="1">
      <c r="A28" s="195" t="s">
        <v>89</v>
      </c>
      <c r="B28" s="196">
        <f t="shared" ref="B28:B35" si="21">B5</f>
        <v>373.05733464071153</v>
      </c>
      <c r="C28" s="197">
        <f>B28/B$42*100</f>
        <v>90.273292198920046</v>
      </c>
      <c r="D28" s="196">
        <f t="shared" ref="D28:D35" si="22">D5</f>
        <v>403.81450000000001</v>
      </c>
      <c r="E28" s="197">
        <f>D28/D$42*100</f>
        <v>70.62872348500882</v>
      </c>
      <c r="F28" s="196">
        <v>546.44836199999975</v>
      </c>
      <c r="G28" s="197">
        <f t="shared" ref="G28:G35" si="23">F28/F$21*100</f>
        <v>77.98176902789092</v>
      </c>
      <c r="H28" s="196">
        <f t="shared" ref="H28:H35" si="24">H5</f>
        <v>612.30961899999977</v>
      </c>
      <c r="I28" s="197">
        <f>H28/H$42*100</f>
        <v>71.170234410994922</v>
      </c>
      <c r="J28" s="196">
        <f t="shared" ref="J28:J35" si="25">J5</f>
        <v>689.86186260691989</v>
      </c>
      <c r="K28" s="198">
        <f>J28/J$42*100</f>
        <v>66</v>
      </c>
      <c r="Q28" s="195" t="s">
        <v>89</v>
      </c>
      <c r="R28" s="196">
        <f t="shared" ref="R28:R35" si="26">R5</f>
        <v>373.05733464071153</v>
      </c>
      <c r="S28" s="197">
        <f>R28/R$42*100</f>
        <v>90.273292198920046</v>
      </c>
      <c r="T28" s="196">
        <f t="shared" ref="T28:T35" si="27">T5</f>
        <v>403.81450000000001</v>
      </c>
      <c r="U28" s="197">
        <f>T28/T$42*100</f>
        <v>70.62872348500882</v>
      </c>
      <c r="V28" s="196">
        <f t="shared" ref="V28:V35" si="28">V5</f>
        <v>377.3920977056714</v>
      </c>
      <c r="W28" s="197">
        <f t="shared" ref="W28:W35" si="29">V28/V$21*100</f>
        <v>64.744278100280496</v>
      </c>
      <c r="X28" s="199"/>
      <c r="Y28" s="199"/>
      <c r="Z28" s="196">
        <f t="shared" ref="Z28:Z35" si="30">Z5</f>
        <v>554.06251034264733</v>
      </c>
      <c r="AA28" s="197">
        <f>Z28/Z$42*100</f>
        <v>70.973437011761575</v>
      </c>
      <c r="AB28" s="196">
        <f t="shared" ref="AB28:AB35" si="31">AB5</f>
        <v>555.79273720643505</v>
      </c>
      <c r="AC28" s="198">
        <f>AB28/AB$42*100</f>
        <v>67.618333036483889</v>
      </c>
    </row>
    <row r="29" spans="1:42" ht="12.75" hidden="1" customHeight="1">
      <c r="A29" s="111" t="s">
        <v>78</v>
      </c>
      <c r="B29" s="126">
        <f t="shared" si="21"/>
        <v>14.037693277382793</v>
      </c>
      <c r="C29" s="127">
        <f t="shared" ref="C29:C35" si="32">B29/B$42*100</f>
        <v>3.3968740709747745</v>
      </c>
      <c r="D29" s="126">
        <f t="shared" si="22"/>
        <v>71.574999999999989</v>
      </c>
      <c r="E29" s="127">
        <f t="shared" ref="E29:E35" si="33">D29/D$42*100</f>
        <v>12.518745323507463</v>
      </c>
      <c r="F29" s="126">
        <v>25.648914999999999</v>
      </c>
      <c r="G29" s="127">
        <f t="shared" si="23"/>
        <v>3.660268571444647</v>
      </c>
      <c r="H29" s="126">
        <f t="shared" si="24"/>
        <v>38.967384999999993</v>
      </c>
      <c r="I29" s="127">
        <f t="shared" ref="I29:K35" si="34">H29/H$42*100</f>
        <v>4.529273816345988</v>
      </c>
      <c r="J29" s="126">
        <f t="shared" si="25"/>
        <v>76.302902985310823</v>
      </c>
      <c r="K29" s="129">
        <f t="shared" si="34"/>
        <v>7.299999999999998</v>
      </c>
      <c r="Q29" s="111" t="s">
        <v>78</v>
      </c>
      <c r="R29" s="126">
        <f t="shared" si="26"/>
        <v>14.037693277382793</v>
      </c>
      <c r="S29" s="127">
        <f t="shared" ref="S29:S35" si="35">R29/R$42*100</f>
        <v>3.3968740709747745</v>
      </c>
      <c r="T29" s="126">
        <f t="shared" si="27"/>
        <v>71.574999999999989</v>
      </c>
      <c r="U29" s="127">
        <f t="shared" ref="U29:U35" si="36">T29/T$42*100</f>
        <v>12.518745323507463</v>
      </c>
      <c r="V29" s="126">
        <f t="shared" si="28"/>
        <v>45.375901137116713</v>
      </c>
      <c r="W29" s="127">
        <f t="shared" si="29"/>
        <v>7.7845561158610579</v>
      </c>
      <c r="X29" s="62"/>
      <c r="Y29" s="62"/>
      <c r="Z29" s="126">
        <f t="shared" si="30"/>
        <v>34.889474</v>
      </c>
      <c r="AA29" s="127">
        <f t="shared" ref="AA29:AA35" si="37">Z29/Z$42*100</f>
        <v>4.4692175324786501</v>
      </c>
      <c r="AB29" s="126">
        <f t="shared" si="31"/>
        <v>37.016693999999994</v>
      </c>
      <c r="AC29" s="129">
        <f t="shared" ref="AC29:AC35" si="38">AB29/AB$42*100</f>
        <v>4.5034901956121391</v>
      </c>
    </row>
    <row r="30" spans="1:42" ht="12.75" hidden="1" customHeight="1">
      <c r="A30" s="111" t="s">
        <v>79</v>
      </c>
      <c r="B30" s="126">
        <f t="shared" si="21"/>
        <v>6.1171195548280002</v>
      </c>
      <c r="C30" s="127">
        <f t="shared" si="32"/>
        <v>1.4802349926199605</v>
      </c>
      <c r="D30" s="126">
        <f t="shared" si="22"/>
        <v>11.277400000000016</v>
      </c>
      <c r="E30" s="127">
        <f t="shared" si="33"/>
        <v>1.9724610340387467</v>
      </c>
      <c r="F30" s="126">
        <v>10.824074999999999</v>
      </c>
      <c r="G30" s="127">
        <f t="shared" si="23"/>
        <v>1.5446665692275761</v>
      </c>
      <c r="H30" s="126">
        <f t="shared" si="24"/>
        <v>15.402123999999999</v>
      </c>
      <c r="I30" s="127">
        <f t="shared" si="34"/>
        <v>1.7902262866577816</v>
      </c>
      <c r="J30" s="126">
        <f t="shared" si="25"/>
        <v>16.723923941985941</v>
      </c>
      <c r="K30" s="129">
        <f t="shared" si="34"/>
        <v>1.6000000000000003</v>
      </c>
      <c r="Q30" s="111" t="s">
        <v>79</v>
      </c>
      <c r="R30" s="126">
        <f t="shared" si="26"/>
        <v>6.1171195548280002</v>
      </c>
      <c r="S30" s="127">
        <f t="shared" si="35"/>
        <v>1.4802349926199605</v>
      </c>
      <c r="T30" s="126">
        <f t="shared" si="27"/>
        <v>11.277400000000016</v>
      </c>
      <c r="U30" s="127">
        <f t="shared" si="36"/>
        <v>1.9724610340387467</v>
      </c>
      <c r="V30" s="126">
        <f t="shared" si="28"/>
        <v>15.613379517979155</v>
      </c>
      <c r="W30" s="127">
        <f t="shared" si="29"/>
        <v>2.6785854599044892</v>
      </c>
      <c r="X30" s="62"/>
      <c r="Y30" s="62"/>
      <c r="Z30" s="126">
        <f t="shared" si="30"/>
        <v>14.472833999999999</v>
      </c>
      <c r="AA30" s="127">
        <f t="shared" si="37"/>
        <v>1.853918561725898</v>
      </c>
      <c r="AB30" s="126">
        <f t="shared" si="31"/>
        <v>14.575398999999997</v>
      </c>
      <c r="AC30" s="129">
        <f t="shared" si="38"/>
        <v>1.773258478826742</v>
      </c>
    </row>
    <row r="31" spans="1:42" ht="12.75" hidden="1" customHeight="1">
      <c r="A31" s="111" t="s">
        <v>80</v>
      </c>
      <c r="B31" s="126">
        <f t="shared" si="21"/>
        <v>9.8550000000000004</v>
      </c>
      <c r="C31" s="127">
        <f t="shared" si="32"/>
        <v>2.3847361035728336</v>
      </c>
      <c r="D31" s="126">
        <f t="shared" si="22"/>
        <v>15.300900000000002</v>
      </c>
      <c r="E31" s="127">
        <f t="shared" si="33"/>
        <v>2.6761868015432122</v>
      </c>
      <c r="F31" s="126">
        <v>26.156264999999998</v>
      </c>
      <c r="G31" s="127">
        <f t="shared" si="23"/>
        <v>3.7326707475102792</v>
      </c>
      <c r="H31" s="126">
        <f t="shared" si="24"/>
        <v>26.442206000000002</v>
      </c>
      <c r="I31" s="127">
        <f t="shared" si="34"/>
        <v>3.0734418355819053</v>
      </c>
      <c r="J31" s="126">
        <f t="shared" si="25"/>
        <v>38.67407411584248</v>
      </c>
      <c r="K31" s="129">
        <f t="shared" si="34"/>
        <v>3.6999999999999997</v>
      </c>
      <c r="Q31" s="111" t="s">
        <v>80</v>
      </c>
      <c r="R31" s="126">
        <f t="shared" si="26"/>
        <v>9.8550000000000004</v>
      </c>
      <c r="S31" s="127">
        <f t="shared" si="35"/>
        <v>2.3847361035728336</v>
      </c>
      <c r="T31" s="126">
        <f t="shared" si="27"/>
        <v>15.300900000000002</v>
      </c>
      <c r="U31" s="127">
        <f t="shared" si="36"/>
        <v>2.6761868015432122</v>
      </c>
      <c r="V31" s="126">
        <f t="shared" si="28"/>
        <v>15.864343667077319</v>
      </c>
      <c r="W31" s="127">
        <f t="shared" si="29"/>
        <v>2.7216401310573657</v>
      </c>
      <c r="X31" s="62"/>
      <c r="Y31" s="62"/>
      <c r="Z31" s="126">
        <f t="shared" si="30"/>
        <v>15.032598000000004</v>
      </c>
      <c r="AA31" s="127">
        <f t="shared" si="37"/>
        <v>1.9256223392850096</v>
      </c>
      <c r="AB31" s="126">
        <f t="shared" si="31"/>
        <v>26.262188000000002</v>
      </c>
      <c r="AC31" s="129">
        <f t="shared" si="38"/>
        <v>3.195085605789723</v>
      </c>
    </row>
    <row r="32" spans="1:42" ht="12.75" hidden="1" customHeight="1">
      <c r="A32" s="139" t="s">
        <v>81</v>
      </c>
      <c r="B32" s="142">
        <f t="shared" si="21"/>
        <v>0.76610638555867172</v>
      </c>
      <c r="C32" s="143">
        <f t="shared" si="32"/>
        <v>0.18538422697305468</v>
      </c>
      <c r="D32" s="142">
        <f t="shared" si="22"/>
        <v>18.364205730874961</v>
      </c>
      <c r="E32" s="143">
        <f t="shared" si="33"/>
        <v>3.2119708643146341</v>
      </c>
      <c r="F32" s="142">
        <v>28.221654000000004</v>
      </c>
      <c r="G32" s="143">
        <f t="shared" si="23"/>
        <v>4.0274153183627899</v>
      </c>
      <c r="H32" s="142">
        <f t="shared" si="24"/>
        <v>55.374545393577606</v>
      </c>
      <c r="I32" s="143">
        <f t="shared" si="34"/>
        <v>6.4363179244179056</v>
      </c>
      <c r="J32" s="142">
        <f t="shared" si="25"/>
        <v>76.302902985310823</v>
      </c>
      <c r="K32" s="200">
        <f t="shared" si="34"/>
        <v>7.299999999999998</v>
      </c>
      <c r="Q32" s="139" t="s">
        <v>81</v>
      </c>
      <c r="R32" s="142">
        <f t="shared" si="26"/>
        <v>0.76610638555867172</v>
      </c>
      <c r="S32" s="143">
        <f t="shared" si="35"/>
        <v>0.18538422697305468</v>
      </c>
      <c r="T32" s="142">
        <f t="shared" si="27"/>
        <v>18.364205730874961</v>
      </c>
      <c r="U32" s="143">
        <f t="shared" si="36"/>
        <v>3.2119708643146341</v>
      </c>
      <c r="V32" s="142">
        <f t="shared" si="28"/>
        <v>23.118072281835005</v>
      </c>
      <c r="W32" s="143">
        <f t="shared" si="29"/>
        <v>3.9660684737623706</v>
      </c>
      <c r="X32" s="201"/>
      <c r="Y32" s="201"/>
      <c r="Z32" s="142">
        <f t="shared" si="30"/>
        <v>36.084516887870457</v>
      </c>
      <c r="AA32" s="143">
        <f t="shared" si="37"/>
        <v>4.6222982761589533</v>
      </c>
      <c r="AB32" s="142">
        <f t="shared" si="31"/>
        <v>39.603285166510055</v>
      </c>
      <c r="AC32" s="200">
        <f t="shared" si="38"/>
        <v>4.8181776163319645</v>
      </c>
    </row>
    <row r="33" spans="1:29" ht="12.75" hidden="1" customHeight="1">
      <c r="A33" s="139" t="s">
        <v>82</v>
      </c>
      <c r="B33" s="142">
        <f t="shared" si="21"/>
        <v>9.290000000000001E-2</v>
      </c>
      <c r="C33" s="143">
        <f t="shared" si="32"/>
        <v>2.2480160732817483E-2</v>
      </c>
      <c r="D33" s="142">
        <f t="shared" si="22"/>
        <v>12.21</v>
      </c>
      <c r="E33" s="143">
        <f t="shared" si="33"/>
        <v>2.1355763939926815</v>
      </c>
      <c r="F33" s="142">
        <v>56.085899999999846</v>
      </c>
      <c r="G33" s="143">
        <f t="shared" si="23"/>
        <v>8.0038261685216234</v>
      </c>
      <c r="H33" s="142">
        <f t="shared" si="24"/>
        <v>91.833999999999818</v>
      </c>
      <c r="I33" s="143">
        <f t="shared" si="34"/>
        <v>10.674088898968117</v>
      </c>
      <c r="J33" s="142">
        <f t="shared" si="25"/>
        <v>104.5245246374121</v>
      </c>
      <c r="K33" s="200">
        <f t="shared" si="34"/>
        <v>10</v>
      </c>
      <c r="Q33" s="139" t="s">
        <v>82</v>
      </c>
      <c r="R33" s="142">
        <f t="shared" si="26"/>
        <v>9.290000000000001E-2</v>
      </c>
      <c r="S33" s="143">
        <f t="shared" si="35"/>
        <v>2.2480160732817483E-2</v>
      </c>
      <c r="T33" s="142">
        <f t="shared" si="27"/>
        <v>12.21</v>
      </c>
      <c r="U33" s="143">
        <f t="shared" si="36"/>
        <v>2.1355763939926815</v>
      </c>
      <c r="V33" s="142">
        <f t="shared" si="28"/>
        <v>33.48546115851957</v>
      </c>
      <c r="W33" s="143">
        <f t="shared" si="29"/>
        <v>5.744667211485047</v>
      </c>
      <c r="X33" s="201"/>
      <c r="Y33" s="201"/>
      <c r="Z33" s="142">
        <f t="shared" si="30"/>
        <v>104.04563016260065</v>
      </c>
      <c r="AA33" s="143">
        <f t="shared" si="37"/>
        <v>13.327875178069014</v>
      </c>
      <c r="AB33" s="142">
        <f t="shared" si="31"/>
        <v>111.2310636712066</v>
      </c>
      <c r="AC33" s="200">
        <f t="shared" si="38"/>
        <v>13.532489008629151</v>
      </c>
    </row>
    <row r="34" spans="1:29" ht="12.75" hidden="1" customHeight="1">
      <c r="A34" s="139" t="s">
        <v>83</v>
      </c>
      <c r="B34" s="142">
        <f t="shared" si="21"/>
        <v>0</v>
      </c>
      <c r="C34" s="143">
        <f t="shared" si="32"/>
        <v>0</v>
      </c>
      <c r="D34" s="142">
        <f t="shared" si="22"/>
        <v>0</v>
      </c>
      <c r="E34" s="143">
        <f t="shared" si="33"/>
        <v>0</v>
      </c>
      <c r="F34" s="142">
        <v>1.7826600000000008</v>
      </c>
      <c r="G34" s="143">
        <f t="shared" si="23"/>
        <v>0.2543972862622656</v>
      </c>
      <c r="H34" s="142">
        <f t="shared" si="24"/>
        <v>12.505630000000004</v>
      </c>
      <c r="I34" s="143">
        <f t="shared" si="34"/>
        <v>1.4535597530065438</v>
      </c>
      <c r="J34" s="142">
        <f t="shared" si="25"/>
        <v>26.131131159353025</v>
      </c>
      <c r="K34" s="200">
        <f t="shared" si="34"/>
        <v>2.5</v>
      </c>
      <c r="Q34" s="139" t="s">
        <v>83</v>
      </c>
      <c r="R34" s="142">
        <f t="shared" si="26"/>
        <v>0</v>
      </c>
      <c r="S34" s="143">
        <f t="shared" si="35"/>
        <v>0</v>
      </c>
      <c r="T34" s="142">
        <f t="shared" si="27"/>
        <v>0</v>
      </c>
      <c r="U34" s="143">
        <f t="shared" si="36"/>
        <v>0</v>
      </c>
      <c r="V34" s="142">
        <f t="shared" si="28"/>
        <v>-1.7100638383927527E-2</v>
      </c>
      <c r="W34" s="143">
        <f t="shared" si="29"/>
        <v>-2.9337352158465627E-3</v>
      </c>
      <c r="X34" s="201"/>
      <c r="Y34" s="201"/>
      <c r="Z34" s="142">
        <f t="shared" si="30"/>
        <v>15.882375824565209</v>
      </c>
      <c r="AA34" s="143">
        <f t="shared" si="37"/>
        <v>2.0344758563159164</v>
      </c>
      <c r="AB34" s="142">
        <f t="shared" si="31"/>
        <v>21.193298931541538</v>
      </c>
      <c r="AC34" s="200">
        <f t="shared" si="38"/>
        <v>2.5783991933713626</v>
      </c>
    </row>
    <row r="35" spans="1:29" ht="12.75" hidden="1" customHeight="1">
      <c r="A35" s="147" t="s">
        <v>267</v>
      </c>
      <c r="B35" s="150">
        <f t="shared" si="21"/>
        <v>9.3271191235964874</v>
      </c>
      <c r="C35" s="151">
        <f t="shared" si="32"/>
        <v>2.2569982462065092</v>
      </c>
      <c r="D35" s="150">
        <f t="shared" si="22"/>
        <v>39.200594269125041</v>
      </c>
      <c r="E35" s="151">
        <f t="shared" si="33"/>
        <v>6.8563360975944478</v>
      </c>
      <c r="F35" s="150">
        <v>4.8910000000000009</v>
      </c>
      <c r="G35" s="151">
        <f t="shared" si="23"/>
        <v>0.69797781243127721</v>
      </c>
      <c r="H35" s="150">
        <f t="shared" si="24"/>
        <v>4.9608609999999986</v>
      </c>
      <c r="I35" s="151">
        <f t="shared" si="34"/>
        <v>0.57661292472748615</v>
      </c>
      <c r="J35" s="150">
        <f t="shared" si="25"/>
        <v>4.1809809854964852</v>
      </c>
      <c r="K35" s="153">
        <f t="shared" si="34"/>
        <v>0.40000000000000008</v>
      </c>
      <c r="Q35" s="147" t="s">
        <v>267</v>
      </c>
      <c r="R35" s="150">
        <f t="shared" si="26"/>
        <v>9.3271191235964874</v>
      </c>
      <c r="S35" s="151">
        <f t="shared" si="35"/>
        <v>2.2569982462065092</v>
      </c>
      <c r="T35" s="150">
        <f t="shared" si="27"/>
        <v>39.200594269125041</v>
      </c>
      <c r="U35" s="151">
        <f t="shared" si="36"/>
        <v>6.8563360975944478</v>
      </c>
      <c r="V35" s="150">
        <f t="shared" si="28"/>
        <v>11.231197795460352</v>
      </c>
      <c r="W35" s="151">
        <f t="shared" si="29"/>
        <v>1.9267912547433677</v>
      </c>
      <c r="X35" s="3"/>
      <c r="Y35" s="3"/>
      <c r="Z35" s="150">
        <f t="shared" si="30"/>
        <v>3.7189119999999996</v>
      </c>
      <c r="AA35" s="151">
        <f t="shared" si="37"/>
        <v>0.47637940062224043</v>
      </c>
      <c r="AB35" s="150">
        <f t="shared" si="31"/>
        <v>3.7175249999999997</v>
      </c>
      <c r="AC35" s="153">
        <f t="shared" si="38"/>
        <v>0.45227802864953365</v>
      </c>
    </row>
    <row r="36" spans="1:29" ht="14.45" hidden="1" thickBot="1">
      <c r="A36" s="159" t="s">
        <v>268</v>
      </c>
      <c r="B36" s="160">
        <f t="shared" ref="B36:K36" si="39">SUM(B28:B35)</f>
        <v>413.25327298207748</v>
      </c>
      <c r="C36" s="202">
        <f t="shared" si="39"/>
        <v>99.999999999999986</v>
      </c>
      <c r="D36" s="162">
        <f t="shared" si="39"/>
        <v>571.74260000000004</v>
      </c>
      <c r="E36" s="202">
        <f t="shared" si="39"/>
        <v>100</v>
      </c>
      <c r="F36" s="163">
        <f t="shared" si="39"/>
        <v>700.05883099999949</v>
      </c>
      <c r="G36" s="161">
        <f t="shared" si="39"/>
        <v>99.902991501651371</v>
      </c>
      <c r="H36" s="163">
        <f t="shared" si="39"/>
        <v>857.79637039357726</v>
      </c>
      <c r="I36" s="202">
        <f t="shared" si="39"/>
        <v>99.703755850700659</v>
      </c>
      <c r="J36" s="163">
        <f t="shared" si="39"/>
        <v>1032.7023034176316</v>
      </c>
      <c r="K36" s="203">
        <f t="shared" si="39"/>
        <v>98.8</v>
      </c>
      <c r="Q36" s="159" t="s">
        <v>268</v>
      </c>
      <c r="R36" s="160">
        <f t="shared" ref="R36:AC36" si="40">SUM(R28:R35)</f>
        <v>413.25327298207748</v>
      </c>
      <c r="S36" s="202">
        <f t="shared" si="40"/>
        <v>99.999999999999986</v>
      </c>
      <c r="T36" s="162">
        <f t="shared" si="40"/>
        <v>571.74260000000004</v>
      </c>
      <c r="U36" s="202">
        <f t="shared" si="40"/>
        <v>100</v>
      </c>
      <c r="V36" s="163">
        <f t="shared" si="40"/>
        <v>522.06335262527557</v>
      </c>
      <c r="W36" s="161">
        <f t="shared" si="40"/>
        <v>89.563653011878344</v>
      </c>
      <c r="X36" s="170"/>
      <c r="Y36" s="170"/>
      <c r="Z36" s="163">
        <f t="shared" si="40"/>
        <v>778.18885121768369</v>
      </c>
      <c r="AA36" s="202">
        <f t="shared" si="40"/>
        <v>99.683224156417282</v>
      </c>
      <c r="AB36" s="163">
        <f t="shared" si="40"/>
        <v>809.39219097569332</v>
      </c>
      <c r="AC36" s="203">
        <f t="shared" si="40"/>
        <v>98.47151116369453</v>
      </c>
    </row>
    <row r="37" spans="1:29" hidden="1">
      <c r="A37" s="650" t="s">
        <v>278</v>
      </c>
      <c r="B37" s="645">
        <v>2005</v>
      </c>
      <c r="C37" s="646"/>
      <c r="D37" s="647">
        <v>2014</v>
      </c>
      <c r="E37" s="648"/>
      <c r="F37" s="647">
        <v>2020</v>
      </c>
      <c r="G37" s="648"/>
      <c r="H37" s="647">
        <v>2025</v>
      </c>
      <c r="I37" s="648"/>
      <c r="J37" s="647">
        <v>2030</v>
      </c>
      <c r="K37" s="649"/>
      <c r="Q37" s="650" t="s">
        <v>278</v>
      </c>
      <c r="R37" s="645">
        <v>2005</v>
      </c>
      <c r="S37" s="646"/>
      <c r="T37" s="647">
        <v>2014</v>
      </c>
      <c r="U37" s="648"/>
      <c r="V37" s="647">
        <v>2020</v>
      </c>
      <c r="W37" s="648"/>
      <c r="X37" s="194"/>
      <c r="Y37" s="194"/>
      <c r="Z37" s="647">
        <v>2025</v>
      </c>
      <c r="AA37" s="648"/>
      <c r="AB37" s="647">
        <v>2030</v>
      </c>
      <c r="AC37" s="649"/>
    </row>
    <row r="38" spans="1:29" ht="13.9" hidden="1" thickBot="1">
      <c r="A38" s="651"/>
      <c r="B38" s="103" t="s">
        <v>76</v>
      </c>
      <c r="C38" s="104" t="s">
        <v>56</v>
      </c>
      <c r="D38" s="105" t="s">
        <v>76</v>
      </c>
      <c r="E38" s="106" t="s">
        <v>56</v>
      </c>
      <c r="F38" s="105" t="s">
        <v>76</v>
      </c>
      <c r="G38" s="106" t="s">
        <v>56</v>
      </c>
      <c r="H38" s="105" t="s">
        <v>76</v>
      </c>
      <c r="I38" s="106" t="s">
        <v>56</v>
      </c>
      <c r="J38" s="105" t="s">
        <v>76</v>
      </c>
      <c r="K38" s="107" t="s">
        <v>56</v>
      </c>
      <c r="Q38" s="651"/>
      <c r="R38" s="103" t="s">
        <v>76</v>
      </c>
      <c r="S38" s="104" t="s">
        <v>56</v>
      </c>
      <c r="T38" s="105" t="s">
        <v>76</v>
      </c>
      <c r="U38" s="106" t="s">
        <v>56</v>
      </c>
      <c r="V38" s="105" t="s">
        <v>76</v>
      </c>
      <c r="W38" s="106" t="s">
        <v>56</v>
      </c>
      <c r="X38" s="104"/>
      <c r="Y38" s="104"/>
      <c r="Z38" s="105" t="s">
        <v>76</v>
      </c>
      <c r="AA38" s="106" t="s">
        <v>56</v>
      </c>
      <c r="AB38" s="105" t="s">
        <v>76</v>
      </c>
      <c r="AC38" s="107" t="s">
        <v>56</v>
      </c>
    </row>
    <row r="39" spans="1:29" hidden="1">
      <c r="A39" s="139" t="s">
        <v>279</v>
      </c>
      <c r="B39" s="142">
        <v>0</v>
      </c>
      <c r="C39" s="143">
        <f>B39/B$42*100</f>
        <v>0</v>
      </c>
      <c r="D39" s="142">
        <v>0</v>
      </c>
      <c r="E39" s="143">
        <f>D39/D$42*100</f>
        <v>0</v>
      </c>
      <c r="F39" s="142"/>
      <c r="G39" s="143"/>
      <c r="H39" s="142">
        <v>0</v>
      </c>
      <c r="I39" s="143">
        <f t="shared" ref="I39:K40" si="41">H39/H$42*100</f>
        <v>0</v>
      </c>
      <c r="J39" s="142">
        <v>3.1357357391223628</v>
      </c>
      <c r="K39" s="200">
        <f t="shared" si="41"/>
        <v>0.3</v>
      </c>
      <c r="Q39" s="139" t="s">
        <v>279</v>
      </c>
      <c r="R39" s="142">
        <v>0</v>
      </c>
      <c r="S39" s="143">
        <f>R39/R$42*100</f>
        <v>0</v>
      </c>
      <c r="T39" s="142">
        <v>0</v>
      </c>
      <c r="U39" s="143">
        <f>T39/T$42*100</f>
        <v>0</v>
      </c>
      <c r="V39" s="142"/>
      <c r="W39" s="143"/>
      <c r="X39" s="201"/>
      <c r="Y39" s="201"/>
      <c r="Z39" s="142">
        <v>0</v>
      </c>
      <c r="AA39" s="143">
        <f>Z39/Z$42*100</f>
        <v>0</v>
      </c>
      <c r="AB39" s="142">
        <v>3.1471141910897291</v>
      </c>
      <c r="AC39" s="200">
        <f>AB39/AB$42*100</f>
        <v>0.38288124552788066</v>
      </c>
    </row>
    <row r="40" spans="1:29" hidden="1">
      <c r="A40" s="204" t="s">
        <v>88</v>
      </c>
      <c r="B40" s="140">
        <v>0</v>
      </c>
      <c r="C40" s="143">
        <f>B40/B$42*100</f>
        <v>0</v>
      </c>
      <c r="D40" s="142">
        <v>0</v>
      </c>
      <c r="E40" s="143">
        <f>D40/D$42*100</f>
        <v>0</v>
      </c>
      <c r="F40" s="142">
        <v>0</v>
      </c>
      <c r="G40" s="143">
        <f>F40/F$21*100</f>
        <v>0</v>
      </c>
      <c r="H40" s="142">
        <v>2.5487220000000002</v>
      </c>
      <c r="I40" s="143">
        <f t="shared" si="41"/>
        <v>0.29624414929934312</v>
      </c>
      <c r="J40" s="142">
        <v>9.4072072173670893</v>
      </c>
      <c r="K40" s="200">
        <f t="shared" si="41"/>
        <v>0.89999999999999991</v>
      </c>
      <c r="Q40" s="204" t="s">
        <v>88</v>
      </c>
      <c r="R40" s="140">
        <v>0</v>
      </c>
      <c r="S40" s="143">
        <f>R40/R$42*100</f>
        <v>0</v>
      </c>
      <c r="T40" s="142">
        <v>0</v>
      </c>
      <c r="U40" s="143">
        <f>T40/T$42*100</f>
        <v>0</v>
      </c>
      <c r="V40" s="142">
        <v>0</v>
      </c>
      <c r="W40" s="143">
        <f>V40/V$21*100</f>
        <v>0</v>
      </c>
      <c r="X40" s="201"/>
      <c r="Y40" s="201"/>
      <c r="Z40" s="142">
        <v>2.4729479999999997</v>
      </c>
      <c r="AA40" s="143">
        <f>Z40/Z$42*100</f>
        <v>0.31677584358273825</v>
      </c>
      <c r="AB40" s="142">
        <v>9.4163867999999997</v>
      </c>
      <c r="AC40" s="200">
        <f>AB40/AB$42*100</f>
        <v>1.1456075907775982</v>
      </c>
    </row>
    <row r="41" spans="1:29" ht="14.45" hidden="1" thickBot="1">
      <c r="A41" s="159" t="s">
        <v>280</v>
      </c>
      <c r="B41" s="160">
        <f t="shared" ref="B41:K41" si="42">SUM(B39:B40)</f>
        <v>0</v>
      </c>
      <c r="C41" s="202">
        <f t="shared" si="42"/>
        <v>0</v>
      </c>
      <c r="D41" s="162">
        <f t="shared" si="42"/>
        <v>0</v>
      </c>
      <c r="E41" s="202">
        <f t="shared" si="42"/>
        <v>0</v>
      </c>
      <c r="F41" s="163">
        <f t="shared" si="42"/>
        <v>0</v>
      </c>
      <c r="G41" s="161">
        <f t="shared" si="42"/>
        <v>0</v>
      </c>
      <c r="H41" s="163">
        <f t="shared" si="42"/>
        <v>2.5487220000000002</v>
      </c>
      <c r="I41" s="202">
        <f t="shared" si="42"/>
        <v>0.29624414929934312</v>
      </c>
      <c r="J41" s="163">
        <f t="shared" si="42"/>
        <v>12.542942956489451</v>
      </c>
      <c r="K41" s="203">
        <f t="shared" si="42"/>
        <v>1.2</v>
      </c>
      <c r="Q41" s="159" t="s">
        <v>280</v>
      </c>
      <c r="R41" s="160">
        <f t="shared" ref="R41:AC41" si="43">SUM(R39:R40)</f>
        <v>0</v>
      </c>
      <c r="S41" s="202">
        <f t="shared" si="43"/>
        <v>0</v>
      </c>
      <c r="T41" s="162">
        <f t="shared" si="43"/>
        <v>0</v>
      </c>
      <c r="U41" s="202">
        <f t="shared" si="43"/>
        <v>0</v>
      </c>
      <c r="V41" s="163">
        <f t="shared" si="43"/>
        <v>0</v>
      </c>
      <c r="W41" s="161">
        <f t="shared" si="43"/>
        <v>0</v>
      </c>
      <c r="X41" s="170"/>
      <c r="Y41" s="170"/>
      <c r="Z41" s="163">
        <f t="shared" si="43"/>
        <v>2.4729479999999997</v>
      </c>
      <c r="AA41" s="202">
        <f t="shared" si="43"/>
        <v>0.31677584358273825</v>
      </c>
      <c r="AB41" s="163">
        <f t="shared" si="43"/>
        <v>12.563500991089729</v>
      </c>
      <c r="AC41" s="203">
        <f t="shared" si="43"/>
        <v>1.5284888363054789</v>
      </c>
    </row>
    <row r="42" spans="1:29" ht="16.149999999999999" hidden="1" thickBot="1">
      <c r="A42" s="177" t="s">
        <v>92</v>
      </c>
      <c r="B42" s="178">
        <f>B36+B41</f>
        <v>413.25327298207748</v>
      </c>
      <c r="C42" s="179">
        <f>C36+C41</f>
        <v>99.999999999999986</v>
      </c>
      <c r="D42" s="178">
        <f>D36+D41</f>
        <v>571.74260000000004</v>
      </c>
      <c r="E42" s="179">
        <f>E36+E41</f>
        <v>100</v>
      </c>
      <c r="F42" s="180">
        <f>F36+SUM(F39:F40)</f>
        <v>700.05883099999949</v>
      </c>
      <c r="G42" s="179">
        <f>G36+SUM(G39:G40)</f>
        <v>99.902991501651371</v>
      </c>
      <c r="H42" s="178">
        <f>H36+H41</f>
        <v>860.34509239357726</v>
      </c>
      <c r="I42" s="179">
        <f>I36+I41</f>
        <v>100</v>
      </c>
      <c r="J42" s="178">
        <f>J36+J41</f>
        <v>1045.2452463741211</v>
      </c>
      <c r="K42" s="205">
        <f>K36+K41</f>
        <v>100</v>
      </c>
      <c r="Q42" s="177" t="s">
        <v>92</v>
      </c>
      <c r="R42" s="178">
        <f>R36+R41</f>
        <v>413.25327298207748</v>
      </c>
      <c r="S42" s="179">
        <f>S36+S41</f>
        <v>99.999999999999986</v>
      </c>
      <c r="T42" s="178">
        <f>T36+T41</f>
        <v>571.74260000000004</v>
      </c>
      <c r="U42" s="179">
        <f>U36+U41</f>
        <v>100</v>
      </c>
      <c r="V42" s="180">
        <f>V36+SUM(V39:V40)</f>
        <v>522.06335262527557</v>
      </c>
      <c r="W42" s="179">
        <f>W36+SUM(W39:W40)</f>
        <v>89.563653011878344</v>
      </c>
      <c r="X42" s="206"/>
      <c r="Y42" s="206"/>
      <c r="Z42" s="178">
        <f>Z36+Z41</f>
        <v>780.66179921768367</v>
      </c>
      <c r="AA42" s="179">
        <f>AA36+AA41</f>
        <v>100.00000000000001</v>
      </c>
      <c r="AB42" s="178">
        <f>AB36+AB41</f>
        <v>821.95569196678309</v>
      </c>
      <c r="AC42" s="205">
        <f>AC36+AC41</f>
        <v>100.00000000000001</v>
      </c>
    </row>
    <row r="43" spans="1:29" hidden="1"/>
    <row r="44" spans="1:29" ht="21">
      <c r="C44" s="100" t="s">
        <v>258</v>
      </c>
      <c r="Q44" s="146" t="s">
        <v>281</v>
      </c>
      <c r="Z44" s="100" t="s">
        <v>259</v>
      </c>
    </row>
    <row r="45" spans="1:29" ht="13.9" thickBot="1"/>
    <row r="46" spans="1:29">
      <c r="A46" s="656" t="s">
        <v>282</v>
      </c>
      <c r="B46" s="658">
        <v>2005</v>
      </c>
      <c r="C46" s="658"/>
      <c r="D46" s="654">
        <v>2014</v>
      </c>
      <c r="E46" s="659"/>
      <c r="F46" s="654">
        <v>2020</v>
      </c>
      <c r="G46" s="659"/>
      <c r="H46" s="654">
        <v>2025</v>
      </c>
      <c r="I46" s="659"/>
      <c r="J46" s="654">
        <v>2030</v>
      </c>
      <c r="K46" s="655"/>
      <c r="Q46" s="656" t="s">
        <v>282</v>
      </c>
      <c r="R46" s="658">
        <v>2005</v>
      </c>
      <c r="S46" s="658"/>
      <c r="T46" s="654">
        <v>2014</v>
      </c>
      <c r="U46" s="659"/>
      <c r="V46" s="654">
        <v>2016</v>
      </c>
      <c r="W46" s="659"/>
      <c r="X46" s="654">
        <v>2021</v>
      </c>
      <c r="Y46" s="659"/>
      <c r="Z46" s="654">
        <v>2025</v>
      </c>
      <c r="AA46" s="659"/>
      <c r="AB46" s="654">
        <v>2026</v>
      </c>
      <c r="AC46" s="655"/>
    </row>
    <row r="47" spans="1:29" ht="13.9" thickBot="1">
      <c r="A47" s="657"/>
      <c r="B47" s="207" t="s">
        <v>283</v>
      </c>
      <c r="C47" s="207" t="s">
        <v>56</v>
      </c>
      <c r="D47" s="208" t="s">
        <v>283</v>
      </c>
      <c r="E47" s="209" t="s">
        <v>56</v>
      </c>
      <c r="F47" s="208" t="s">
        <v>283</v>
      </c>
      <c r="G47" s="209" t="s">
        <v>56</v>
      </c>
      <c r="H47" s="208" t="s">
        <v>283</v>
      </c>
      <c r="I47" s="209" t="s">
        <v>56</v>
      </c>
      <c r="J47" s="208" t="s">
        <v>283</v>
      </c>
      <c r="K47" s="210" t="s">
        <v>56</v>
      </c>
      <c r="Q47" s="657"/>
      <c r="R47" s="207" t="s">
        <v>283</v>
      </c>
      <c r="S47" s="207" t="s">
        <v>56</v>
      </c>
      <c r="T47" s="208" t="s">
        <v>283</v>
      </c>
      <c r="U47" s="209" t="s">
        <v>56</v>
      </c>
      <c r="V47" s="208" t="s">
        <v>283</v>
      </c>
      <c r="W47" s="209" t="s">
        <v>56</v>
      </c>
      <c r="X47" s="208" t="s">
        <v>283</v>
      </c>
      <c r="Y47" s="209" t="s">
        <v>56</v>
      </c>
      <c r="Z47" s="208" t="s">
        <v>283</v>
      </c>
      <c r="AA47" s="209" t="s">
        <v>56</v>
      </c>
      <c r="AB47" s="208" t="s">
        <v>283</v>
      </c>
      <c r="AC47" s="210" t="s">
        <v>56</v>
      </c>
    </row>
    <row r="48" spans="1:29" ht="13.9" thickTop="1">
      <c r="A48" s="111" t="s">
        <v>284</v>
      </c>
      <c r="B48" s="114">
        <v>71.059100000000001</v>
      </c>
      <c r="C48" s="115">
        <v>76.518627557607743</v>
      </c>
      <c r="D48" s="114">
        <v>95.533010070000003</v>
      </c>
      <c r="E48" s="115">
        <v>71.793667909209475</v>
      </c>
      <c r="F48" s="114">
        <v>115.2880031</v>
      </c>
      <c r="G48" s="115">
        <v>66.187053645083594</v>
      </c>
      <c r="H48" s="114">
        <v>127.36210370000001</v>
      </c>
      <c r="I48" s="115">
        <v>61.05466035094291</v>
      </c>
      <c r="J48" s="114">
        <v>139.09615429999999</v>
      </c>
      <c r="K48" s="118">
        <v>54.197909381038755</v>
      </c>
      <c r="Q48" s="111" t="s">
        <v>284</v>
      </c>
      <c r="R48" s="114">
        <v>71.059100000000001</v>
      </c>
      <c r="S48" s="115">
        <v>76.518627557607743</v>
      </c>
      <c r="T48" s="114">
        <v>95.533010070000003</v>
      </c>
      <c r="U48" s="115">
        <v>71.793667909209475</v>
      </c>
      <c r="V48" s="211">
        <v>89.697999999999993</v>
      </c>
      <c r="W48" s="125">
        <f>V48/V$60*100</f>
        <v>68.734297455986706</v>
      </c>
      <c r="X48" s="119">
        <f>102.008+6.658</f>
        <v>108.666</v>
      </c>
      <c r="Y48" s="125">
        <f>X48/X$60*100</f>
        <v>62.811496968433232</v>
      </c>
      <c r="Z48" s="114">
        <f>102.937+7.858</f>
        <v>110.795</v>
      </c>
      <c r="AA48" s="125">
        <f>Z48/Z$60*100</f>
        <v>58.289002613008819</v>
      </c>
      <c r="AB48" s="114">
        <f>103.466+8.158</f>
        <v>111.624</v>
      </c>
      <c r="AC48" s="128">
        <f>AB48/AB$60*100</f>
        <v>56.60202873693445</v>
      </c>
    </row>
    <row r="49" spans="1:29">
      <c r="A49" s="111" t="s">
        <v>78</v>
      </c>
      <c r="B49" s="126">
        <v>9.6375995516360309</v>
      </c>
      <c r="C49" s="127">
        <v>10.378064043043112</v>
      </c>
      <c r="D49" s="126">
        <v>11.042999999999999</v>
      </c>
      <c r="E49" s="127">
        <v>8.2988851093509783</v>
      </c>
      <c r="F49" s="126">
        <v>16.145</v>
      </c>
      <c r="G49" s="127">
        <v>9.2688740577194952</v>
      </c>
      <c r="H49" s="126">
        <v>20.945</v>
      </c>
      <c r="I49" s="127">
        <v>10.040583689341959</v>
      </c>
      <c r="J49" s="126">
        <v>20.945</v>
      </c>
      <c r="K49" s="129">
        <v>8.1610826532093181</v>
      </c>
      <c r="Q49" s="111" t="s">
        <v>78</v>
      </c>
      <c r="R49" s="126">
        <v>9.6375995516360309</v>
      </c>
      <c r="S49" s="127">
        <v>10.378064043043112</v>
      </c>
      <c r="T49" s="126">
        <v>11.042999999999999</v>
      </c>
      <c r="U49" s="127">
        <v>8.2988851093509783</v>
      </c>
      <c r="V49" s="142">
        <v>12.042</v>
      </c>
      <c r="W49" s="125">
        <f t="shared" ref="W49:AC55" si="44">V49/V$60*100</f>
        <v>9.2276127668954935</v>
      </c>
      <c r="X49" s="46">
        <f>14182/1000</f>
        <v>14.182</v>
      </c>
      <c r="Y49" s="125">
        <f t="shared" si="44"/>
        <v>8.1975286658781972</v>
      </c>
      <c r="Z49" s="126">
        <v>16.265999999999998</v>
      </c>
      <c r="AA49" s="125">
        <f t="shared" si="44"/>
        <v>8.5575063541062448</v>
      </c>
      <c r="AB49" s="126">
        <f>16.849</f>
        <v>16.849</v>
      </c>
      <c r="AC49" s="128">
        <f t="shared" si="44"/>
        <v>8.5437502883663772</v>
      </c>
    </row>
    <row r="50" spans="1:29">
      <c r="A50" s="111" t="s">
        <v>79</v>
      </c>
      <c r="B50" s="126">
        <v>1.415</v>
      </c>
      <c r="C50" s="127">
        <v>1.5237155831415674</v>
      </c>
      <c r="D50" s="126">
        <v>3.2054400329999999</v>
      </c>
      <c r="E50" s="127">
        <v>2.408908680501785</v>
      </c>
      <c r="F50" s="126">
        <v>3.5454400329999998</v>
      </c>
      <c r="G50" s="127">
        <v>2.0354436138168999</v>
      </c>
      <c r="H50" s="126">
        <v>3.5454400329999998</v>
      </c>
      <c r="I50" s="127">
        <v>1.6996078952914688</v>
      </c>
      <c r="J50" s="126">
        <v>3.5454400329999998</v>
      </c>
      <c r="K50" s="129">
        <v>1.3814575865987193</v>
      </c>
      <c r="Q50" s="111" t="s">
        <v>79</v>
      </c>
      <c r="R50" s="126">
        <v>1.415</v>
      </c>
      <c r="S50" s="127">
        <v>1.5237155831415674</v>
      </c>
      <c r="T50" s="126">
        <v>3.2054400329999999</v>
      </c>
      <c r="U50" s="127">
        <v>2.408908680501785</v>
      </c>
      <c r="V50" s="142">
        <v>3.1739999999999999</v>
      </c>
      <c r="W50" s="125">
        <f t="shared" si="44"/>
        <v>2.4321909086635358</v>
      </c>
      <c r="X50" s="46">
        <f>3514/1000</f>
        <v>3.5139999999999998</v>
      </c>
      <c r="Y50" s="125">
        <f t="shared" si="44"/>
        <v>2.0311744275769272</v>
      </c>
      <c r="Z50" s="126">
        <v>3.5139999999999998</v>
      </c>
      <c r="AA50" s="125">
        <f t="shared" si="44"/>
        <v>1.8487075696747415</v>
      </c>
      <c r="AB50" s="126">
        <f>3.514</f>
        <v>3.5139999999999998</v>
      </c>
      <c r="AC50" s="128">
        <f t="shared" si="44"/>
        <v>1.7818706459326636</v>
      </c>
    </row>
    <row r="51" spans="1:29">
      <c r="A51" s="111" t="s">
        <v>80</v>
      </c>
      <c r="B51" s="126">
        <v>2.0070000000000001</v>
      </c>
      <c r="C51" s="127">
        <v>2.1611994172191706</v>
      </c>
      <c r="D51" s="126">
        <v>2.0070000000000001</v>
      </c>
      <c r="E51" s="127">
        <v>1.5082733328323297</v>
      </c>
      <c r="F51" s="126">
        <v>3.4119999999999999</v>
      </c>
      <c r="G51" s="127">
        <v>1.9588354465741045</v>
      </c>
      <c r="H51" s="126">
        <v>3.4119999999999999</v>
      </c>
      <c r="I51" s="127">
        <v>1.6356396060174152</v>
      </c>
      <c r="J51" s="126">
        <v>5.4119999999999999</v>
      </c>
      <c r="K51" s="129">
        <v>2.1087505046153656</v>
      </c>
      <c r="Q51" s="111" t="s">
        <v>80</v>
      </c>
      <c r="R51" s="126">
        <v>2.0070000000000001</v>
      </c>
      <c r="S51" s="127">
        <v>2.1611994172191706</v>
      </c>
      <c r="T51" s="126">
        <v>2.0070000000000001</v>
      </c>
      <c r="U51" s="127">
        <v>1.5082733328323297</v>
      </c>
      <c r="V51" s="142">
        <v>1.99</v>
      </c>
      <c r="W51" s="125">
        <f t="shared" si="44"/>
        <v>1.5249086037304462</v>
      </c>
      <c r="X51" s="46">
        <f>1990/1000</f>
        <v>1.99</v>
      </c>
      <c r="Y51" s="125">
        <f t="shared" si="44"/>
        <v>1.1502666792481746</v>
      </c>
      <c r="Z51" s="126">
        <v>1.99</v>
      </c>
      <c r="AA51" s="125">
        <f t="shared" si="44"/>
        <v>1.046934565638229</v>
      </c>
      <c r="AB51" s="126">
        <f>3.395</f>
        <v>3.395</v>
      </c>
      <c r="AC51" s="128">
        <f t="shared" si="44"/>
        <v>1.7215284129030715</v>
      </c>
    </row>
    <row r="52" spans="1:29">
      <c r="A52" s="111" t="s">
        <v>81</v>
      </c>
      <c r="B52" s="126">
        <v>3.3383839214908799</v>
      </c>
      <c r="C52" s="127">
        <v>3.5948746315794406</v>
      </c>
      <c r="D52" s="126">
        <v>11.0982</v>
      </c>
      <c r="E52" s="127">
        <v>8.3403682623018245</v>
      </c>
      <c r="F52" s="126">
        <v>13.350200000000001</v>
      </c>
      <c r="G52" s="127">
        <v>7.6643742610942587</v>
      </c>
      <c r="H52" s="126">
        <v>20.7102</v>
      </c>
      <c r="I52" s="127">
        <v>9.9280256062549466</v>
      </c>
      <c r="J52" s="126">
        <v>28.310200000000002</v>
      </c>
      <c r="K52" s="129">
        <v>11.030884799660372</v>
      </c>
      <c r="Q52" s="111" t="s">
        <v>81</v>
      </c>
      <c r="R52" s="126">
        <v>3.3383839214908799</v>
      </c>
      <c r="S52" s="127">
        <v>3.5948746315794406</v>
      </c>
      <c r="T52" s="126">
        <v>11.0982</v>
      </c>
      <c r="U52" s="127">
        <v>8.3403682623018245</v>
      </c>
      <c r="V52" s="142">
        <v>12.881</v>
      </c>
      <c r="W52" s="125">
        <f t="shared" si="44"/>
        <v>9.8705264947999396</v>
      </c>
      <c r="X52" s="46">
        <f>14199/1000</f>
        <v>14.199</v>
      </c>
      <c r="Y52" s="125">
        <f t="shared" si="44"/>
        <v>8.2073550646456432</v>
      </c>
      <c r="Z52" s="126">
        <v>16.367999999999999</v>
      </c>
      <c r="AA52" s="125">
        <f t="shared" si="44"/>
        <v>8.6111683268173511</v>
      </c>
      <c r="AB52" s="126">
        <f>16.936</f>
        <v>16.936</v>
      </c>
      <c r="AC52" s="128">
        <f t="shared" si="44"/>
        <v>8.5878660385644832</v>
      </c>
    </row>
    <row r="53" spans="1:29">
      <c r="A53" s="111" t="s">
        <v>82</v>
      </c>
      <c r="B53" s="126">
        <v>2.9000000000000001E-2</v>
      </c>
      <c r="C53" s="127">
        <v>3.1228093223396081E-2</v>
      </c>
      <c r="D53" s="126">
        <v>4.8890000000000002</v>
      </c>
      <c r="E53" s="127">
        <v>3.6741147604470656</v>
      </c>
      <c r="F53" s="126">
        <v>15.798</v>
      </c>
      <c r="G53" s="127">
        <v>9.0696607224436416</v>
      </c>
      <c r="H53" s="126">
        <v>23.797999999999998</v>
      </c>
      <c r="I53" s="127">
        <v>11.408250686987822</v>
      </c>
      <c r="J53" s="126">
        <v>32.997999999999998</v>
      </c>
      <c r="K53" s="129">
        <v>12.857455497283413</v>
      </c>
      <c r="Q53" s="111" t="s">
        <v>82</v>
      </c>
      <c r="R53" s="126">
        <v>2.9000000000000001E-2</v>
      </c>
      <c r="S53" s="127">
        <v>3.1228093223396081E-2</v>
      </c>
      <c r="T53" s="126">
        <v>4.8890000000000002</v>
      </c>
      <c r="U53" s="127">
        <v>3.6741147604470656</v>
      </c>
      <c r="V53" s="142">
        <v>4.8860000000000001</v>
      </c>
      <c r="W53" s="125">
        <f t="shared" si="44"/>
        <v>3.7440720793100306</v>
      </c>
      <c r="X53" s="46">
        <f>19450/1000</f>
        <v>19.45</v>
      </c>
      <c r="Y53" s="125">
        <f t="shared" si="44"/>
        <v>11.242556236872861</v>
      </c>
      <c r="Z53" s="126">
        <v>26.666</v>
      </c>
      <c r="AA53" s="125">
        <f t="shared" si="44"/>
        <v>14.028923179552265</v>
      </c>
      <c r="AB53" s="126">
        <v>28.47</v>
      </c>
      <c r="AC53" s="128">
        <f t="shared" si="44"/>
        <v>14.43649894413857</v>
      </c>
    </row>
    <row r="54" spans="1:29">
      <c r="A54" s="111" t="s">
        <v>83</v>
      </c>
      <c r="B54" s="126">
        <v>0</v>
      </c>
      <c r="C54" s="127">
        <v>0</v>
      </c>
      <c r="D54" s="126">
        <v>0</v>
      </c>
      <c r="E54" s="127">
        <v>0</v>
      </c>
      <c r="F54" s="126">
        <v>0.89100000000000001</v>
      </c>
      <c r="G54" s="127">
        <v>0.51152473121263986</v>
      </c>
      <c r="H54" s="126">
        <v>6.891</v>
      </c>
      <c r="I54" s="127">
        <v>3.3033975747555711</v>
      </c>
      <c r="J54" s="126">
        <v>17.390999999999998</v>
      </c>
      <c r="K54" s="129">
        <v>6.7762897312944981</v>
      </c>
      <c r="Q54" s="111" t="s">
        <v>83</v>
      </c>
      <c r="R54" s="126">
        <v>0</v>
      </c>
      <c r="S54" s="127">
        <v>0</v>
      </c>
      <c r="T54" s="126">
        <v>0</v>
      </c>
      <c r="U54" s="127">
        <v>0</v>
      </c>
      <c r="V54" s="142">
        <v>6.0000000000000001E-3</v>
      </c>
      <c r="W54" s="125">
        <f t="shared" si="44"/>
        <v>4.5977143831068728E-3</v>
      </c>
      <c r="X54" s="46">
        <v>4.66</v>
      </c>
      <c r="Y54" s="125">
        <f t="shared" si="44"/>
        <v>2.693589309194218</v>
      </c>
      <c r="Z54" s="126">
        <v>8.66</v>
      </c>
      <c r="AA54" s="125">
        <f t="shared" si="44"/>
        <v>4.5560067027271671</v>
      </c>
      <c r="AB54" s="126">
        <f>9.66</f>
        <v>9.66</v>
      </c>
      <c r="AC54" s="128">
        <f t="shared" si="44"/>
        <v>4.8983695047551308</v>
      </c>
    </row>
    <row r="55" spans="1:29">
      <c r="A55" s="147" t="s">
        <v>267</v>
      </c>
      <c r="B55" s="150">
        <v>5.3790165268731016</v>
      </c>
      <c r="C55" s="151">
        <v>5.7922906741855673</v>
      </c>
      <c r="D55" s="150">
        <v>5.2761499910000005</v>
      </c>
      <c r="E55" s="151">
        <v>3.9650604541349463</v>
      </c>
      <c r="F55" s="150">
        <v>5.2381500059999997</v>
      </c>
      <c r="G55" s="151">
        <v>3.0072315082723207</v>
      </c>
      <c r="H55" s="150">
        <v>0</v>
      </c>
      <c r="I55" s="151">
        <v>0</v>
      </c>
      <c r="J55" s="150">
        <v>0</v>
      </c>
      <c r="K55" s="153">
        <v>0</v>
      </c>
      <c r="Q55" s="147" t="s">
        <v>267</v>
      </c>
      <c r="R55" s="150">
        <v>5.3790165268731016</v>
      </c>
      <c r="S55" s="151">
        <v>5.7922906741855673</v>
      </c>
      <c r="T55" s="150">
        <v>5.2761499910000005</v>
      </c>
      <c r="U55" s="151">
        <v>3.9650604541349463</v>
      </c>
      <c r="V55" s="155">
        <f>3.721+1.53+0.49</f>
        <v>5.7410000000000005</v>
      </c>
      <c r="W55" s="125">
        <f>V55/V$60*100</f>
        <v>4.3992463789027596</v>
      </c>
      <c r="X55" s="154">
        <f>3.721+1.53+0.49</f>
        <v>5.7410000000000005</v>
      </c>
      <c r="Y55" s="125">
        <f>X55/X$60*100</f>
        <v>3.3184326661124475</v>
      </c>
      <c r="Z55" s="150">
        <f>1.805+0.787+0.49</f>
        <v>3.0819999999999999</v>
      </c>
      <c r="AA55" s="125">
        <f t="shared" si="44"/>
        <v>1.6214333323100607</v>
      </c>
      <c r="AB55" s="126">
        <f>1.774+0.612+0.49</f>
        <v>2.8760000000000003</v>
      </c>
      <c r="AC55" s="128">
        <f t="shared" si="44"/>
        <v>1.4583551444798921</v>
      </c>
    </row>
    <row r="56" spans="1:29" ht="13.9" thickBot="1">
      <c r="A56" s="212" t="s">
        <v>285</v>
      </c>
      <c r="B56" s="213">
        <v>92.865100000000012</v>
      </c>
      <c r="C56" s="214">
        <v>99.999999999999986</v>
      </c>
      <c r="D56" s="213">
        <v>133.05180009400001</v>
      </c>
      <c r="E56" s="214">
        <v>99.989278508778398</v>
      </c>
      <c r="F56" s="213">
        <v>173.66779313900003</v>
      </c>
      <c r="G56" s="214">
        <v>99.702997986216957</v>
      </c>
      <c r="H56" s="213">
        <v>206.66374373300002</v>
      </c>
      <c r="I56" s="215">
        <v>99.070165409592093</v>
      </c>
      <c r="J56" s="213">
        <v>247.69779433299999</v>
      </c>
      <c r="K56" s="216">
        <v>96.513830153700439</v>
      </c>
      <c r="Q56" s="212" t="s">
        <v>285</v>
      </c>
      <c r="R56" s="213">
        <v>92.865100000000012</v>
      </c>
      <c r="S56" s="214">
        <v>99.999999999999986</v>
      </c>
      <c r="T56" s="213">
        <v>133.05180009400001</v>
      </c>
      <c r="U56" s="214">
        <v>99.989278508778398</v>
      </c>
      <c r="V56" s="213">
        <f t="shared" ref="V56:AC56" si="45">SUM(V48:V55)</f>
        <v>130.41800000000001</v>
      </c>
      <c r="W56" s="217">
        <f t="shared" si="45"/>
        <v>99.937452402672022</v>
      </c>
      <c r="X56" s="213">
        <f t="shared" si="45"/>
        <v>172.40200000000002</v>
      </c>
      <c r="Y56" s="214">
        <f t="shared" si="45"/>
        <v>99.652400017961696</v>
      </c>
      <c r="Z56" s="213">
        <f t="shared" si="45"/>
        <v>187.34100000000001</v>
      </c>
      <c r="AA56" s="214">
        <f t="shared" si="45"/>
        <v>98.559682643834861</v>
      </c>
      <c r="AB56" s="218">
        <f t="shared" si="45"/>
        <v>193.32400000000001</v>
      </c>
      <c r="AC56" s="219">
        <f t="shared" si="45"/>
        <v>98.030267716074633</v>
      </c>
    </row>
    <row r="57" spans="1:29">
      <c r="A57" s="220" t="s">
        <v>278</v>
      </c>
      <c r="B57" s="221"/>
      <c r="C57" s="172"/>
      <c r="D57" s="173"/>
      <c r="E57" s="172"/>
      <c r="F57" s="173"/>
      <c r="G57" s="172"/>
      <c r="H57" s="173"/>
      <c r="I57" s="172"/>
      <c r="J57" s="173"/>
      <c r="K57" s="174"/>
      <c r="Q57" s="220" t="s">
        <v>278</v>
      </c>
      <c r="R57" s="221"/>
      <c r="S57" s="172"/>
      <c r="T57" s="173"/>
      <c r="U57" s="172"/>
      <c r="V57" s="173"/>
      <c r="W57" s="172"/>
      <c r="X57" s="222"/>
      <c r="Y57" s="222"/>
      <c r="Z57" s="173"/>
      <c r="AA57" s="172"/>
      <c r="AB57" s="173"/>
      <c r="AC57" s="174"/>
    </row>
    <row r="58" spans="1:29">
      <c r="A58" s="111" t="s">
        <v>279</v>
      </c>
      <c r="B58" s="223">
        <v>0</v>
      </c>
      <c r="C58" s="127">
        <v>0</v>
      </c>
      <c r="D58" s="223">
        <v>0</v>
      </c>
      <c r="E58" s="127">
        <v>0</v>
      </c>
      <c r="F58" s="223">
        <v>0</v>
      </c>
      <c r="G58" s="127">
        <v>0</v>
      </c>
      <c r="H58" s="223">
        <v>0</v>
      </c>
      <c r="I58" s="127">
        <v>0</v>
      </c>
      <c r="J58" s="223">
        <v>0.79047608457192708</v>
      </c>
      <c r="K58" s="129">
        <v>0.30800385111371575</v>
      </c>
      <c r="Q58" s="111" t="s">
        <v>279</v>
      </c>
      <c r="R58" s="223">
        <v>0</v>
      </c>
      <c r="S58" s="127">
        <v>0</v>
      </c>
      <c r="T58" s="223">
        <v>0</v>
      </c>
      <c r="U58" s="127">
        <v>0</v>
      </c>
      <c r="V58" s="223">
        <v>3.7999999999999999E-2</v>
      </c>
      <c r="W58" s="125">
        <f>V58/V$60*100</f>
        <v>2.9118857759676861E-2</v>
      </c>
      <c r="X58" s="62">
        <v>0.10351764705882353</v>
      </c>
      <c r="Y58" s="125">
        <f>X58/X$60*100</f>
        <v>5.9835628203988696E-2</v>
      </c>
      <c r="Z58" s="223">
        <v>0.2273882352941177</v>
      </c>
      <c r="AA58" s="143">
        <f>Z58/Z$60*100</f>
        <v>0.11962844389391482</v>
      </c>
      <c r="AB58" s="223">
        <v>0.27355294117647061</v>
      </c>
      <c r="AC58" s="200">
        <f>AB58/AB$60*100</f>
        <v>0.13871256573446147</v>
      </c>
    </row>
    <row r="59" spans="1:29" ht="13.9" thickBot="1">
      <c r="A59" s="224" t="s">
        <v>88</v>
      </c>
      <c r="B59" s="225">
        <v>0</v>
      </c>
      <c r="C59" s="226">
        <v>0</v>
      </c>
      <c r="D59" s="225">
        <v>1.4266666666666667E-2</v>
      </c>
      <c r="E59" s="226">
        <v>1.0721491221595035E-2</v>
      </c>
      <c r="F59" s="225">
        <v>0.51733333333333342</v>
      </c>
      <c r="G59" s="226">
        <v>0.29700201378302177</v>
      </c>
      <c r="H59" s="225">
        <v>1.9396666666666667</v>
      </c>
      <c r="I59" s="226">
        <v>0.92983459040790728</v>
      </c>
      <c r="J59" s="225">
        <v>8.156600000000001</v>
      </c>
      <c r="K59" s="227">
        <v>3.178165995185827</v>
      </c>
      <c r="Q59" s="224" t="s">
        <v>88</v>
      </c>
      <c r="R59" s="225">
        <v>0</v>
      </c>
      <c r="S59" s="226">
        <v>0</v>
      </c>
      <c r="T59" s="225">
        <v>1.4266666666666667E-2</v>
      </c>
      <c r="U59" s="226">
        <v>1.0721491221595035E-2</v>
      </c>
      <c r="V59" s="225">
        <v>4.3624379571428722E-2</v>
      </c>
      <c r="W59" s="228">
        <f>V59/V$60*100</f>
        <v>3.3428739568278583E-2</v>
      </c>
      <c r="X59" s="229">
        <v>0.49784200000000001</v>
      </c>
      <c r="Y59" s="228">
        <f>X59/X$60*100</f>
        <v>0.28776435383430637</v>
      </c>
      <c r="Z59" s="225">
        <v>2.5103488046719651</v>
      </c>
      <c r="AA59" s="230">
        <f>Z59/Z$60*100</f>
        <v>1.3206889122712013</v>
      </c>
      <c r="AB59" s="225">
        <v>3.6109261378819362</v>
      </c>
      <c r="AC59" s="231">
        <f>AB59/AB$60*100</f>
        <v>1.8310197181909005</v>
      </c>
    </row>
    <row r="60" spans="1:29" ht="13.9" thickBot="1">
      <c r="A60" s="212" t="s">
        <v>286</v>
      </c>
      <c r="B60" s="232">
        <v>92.865100000000012</v>
      </c>
      <c r="C60" s="233">
        <v>99.999999999999986</v>
      </c>
      <c r="D60" s="232">
        <v>133.06606676066667</v>
      </c>
      <c r="E60" s="233">
        <v>99.999999999999986</v>
      </c>
      <c r="F60" s="232">
        <v>174.18512647233337</v>
      </c>
      <c r="G60" s="234">
        <v>99.999999999999972</v>
      </c>
      <c r="H60" s="235">
        <v>208.60341039966667</v>
      </c>
      <c r="I60" s="235">
        <v>100</v>
      </c>
      <c r="J60" s="235">
        <v>256.64487041757195</v>
      </c>
      <c r="K60" s="236">
        <v>99.999999999999972</v>
      </c>
      <c r="Q60" s="212" t="s">
        <v>286</v>
      </c>
      <c r="R60" s="232">
        <v>92.865100000000012</v>
      </c>
      <c r="S60" s="233">
        <v>99.999999999999986</v>
      </c>
      <c r="T60" s="232">
        <v>133.06606676066667</v>
      </c>
      <c r="U60" s="233">
        <v>99.999999999999986</v>
      </c>
      <c r="V60" s="232">
        <f t="shared" ref="V60:AC60" si="46">V56+V58+V59</f>
        <v>130.49962437957146</v>
      </c>
      <c r="W60" s="235">
        <f t="shared" si="46"/>
        <v>99.999999999999972</v>
      </c>
      <c r="X60" s="232">
        <f t="shared" si="46"/>
        <v>173.00335964705883</v>
      </c>
      <c r="Y60" s="234">
        <f t="shared" si="46"/>
        <v>99.999999999999986</v>
      </c>
      <c r="Z60" s="232">
        <f t="shared" si="46"/>
        <v>190.07873703996609</v>
      </c>
      <c r="AA60" s="234">
        <f t="shared" si="46"/>
        <v>99.999999999999972</v>
      </c>
      <c r="AB60" s="237">
        <f t="shared" si="46"/>
        <v>197.20847907905841</v>
      </c>
      <c r="AC60" s="236">
        <f t="shared" si="46"/>
        <v>100</v>
      </c>
    </row>
  </sheetData>
  <mergeCells count="69">
    <mergeCell ref="AB46:AC46"/>
    <mergeCell ref="Q46:Q47"/>
    <mergeCell ref="R46:S46"/>
    <mergeCell ref="T46:U46"/>
    <mergeCell ref="V46:W46"/>
    <mergeCell ref="X46:Y46"/>
    <mergeCell ref="Z46:AA46"/>
    <mergeCell ref="A46:A47"/>
    <mergeCell ref="B46:C46"/>
    <mergeCell ref="D46:E46"/>
    <mergeCell ref="F46:G46"/>
    <mergeCell ref="H46:I46"/>
    <mergeCell ref="J46:K46"/>
    <mergeCell ref="Q37:Q38"/>
    <mergeCell ref="R37:S37"/>
    <mergeCell ref="T37:U37"/>
    <mergeCell ref="V37:W37"/>
    <mergeCell ref="V26:W26"/>
    <mergeCell ref="Z26:AA26"/>
    <mergeCell ref="Z37:AA37"/>
    <mergeCell ref="AB37:AC37"/>
    <mergeCell ref="A37:A38"/>
    <mergeCell ref="B37:C37"/>
    <mergeCell ref="D37:E37"/>
    <mergeCell ref="F37:G37"/>
    <mergeCell ref="H37:I37"/>
    <mergeCell ref="J37:K37"/>
    <mergeCell ref="AB26:AC26"/>
    <mergeCell ref="T26:U26"/>
    <mergeCell ref="Z14:AA14"/>
    <mergeCell ref="AB14:AC14"/>
    <mergeCell ref="AE17:AE18"/>
    <mergeCell ref="AF18:AP18"/>
    <mergeCell ref="A26:A27"/>
    <mergeCell ref="B26:C26"/>
    <mergeCell ref="D26:E26"/>
    <mergeCell ref="F26:G26"/>
    <mergeCell ref="H26:I26"/>
    <mergeCell ref="J26:K26"/>
    <mergeCell ref="J14:K14"/>
    <mergeCell ref="Q14:Q15"/>
    <mergeCell ref="R14:S14"/>
    <mergeCell ref="T14:U14"/>
    <mergeCell ref="Q26:Q27"/>
    <mergeCell ref="R26:S26"/>
    <mergeCell ref="A3:A4"/>
    <mergeCell ref="B3:C3"/>
    <mergeCell ref="D3:E3"/>
    <mergeCell ref="V14:W14"/>
    <mergeCell ref="X14:Y14"/>
    <mergeCell ref="X3:Y3"/>
    <mergeCell ref="A14:A15"/>
    <mergeCell ref="B14:C14"/>
    <mergeCell ref="D14:E14"/>
    <mergeCell ref="F14:G14"/>
    <mergeCell ref="H14:I14"/>
    <mergeCell ref="F3:G3"/>
    <mergeCell ref="H3:I3"/>
    <mergeCell ref="J3:K3"/>
    <mergeCell ref="AE3:AE4"/>
    <mergeCell ref="AF4:AP4"/>
    <mergeCell ref="L3:M3"/>
    <mergeCell ref="N3:O3"/>
    <mergeCell ref="Q3:Q4"/>
    <mergeCell ref="R3:S3"/>
    <mergeCell ref="T3:U3"/>
    <mergeCell ref="V3:W3"/>
    <mergeCell ref="Z3:AA3"/>
    <mergeCell ref="AB3:AC3"/>
  </mergeCells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10531-3C24-4802-A249-4DEF49E93AF4}">
  <sheetPr>
    <tabColor rgb="FF00678E"/>
  </sheetPr>
  <dimension ref="A1:B42"/>
  <sheetViews>
    <sheetView showGridLines="0" zoomScaleNormal="100" workbookViewId="0">
      <selection activeCell="D17" sqref="D17"/>
    </sheetView>
  </sheetViews>
  <sheetFormatPr defaultColWidth="8.85546875" defaultRowHeight="13.15"/>
  <cols>
    <col min="1" max="1" width="30.28515625" style="248" customWidth="1"/>
    <col min="2" max="2" width="165.85546875" style="248" bestFit="1" customWidth="1"/>
    <col min="3" max="16384" width="8.85546875" style="248"/>
  </cols>
  <sheetData>
    <row r="1" spans="1:2">
      <c r="A1" s="591" t="s">
        <v>22</v>
      </c>
    </row>
    <row r="2" spans="1:2">
      <c r="A2" s="295" t="s">
        <v>287</v>
      </c>
    </row>
    <row r="3" spans="1:2" ht="13.9" thickBot="1">
      <c r="A3" s="295"/>
    </row>
    <row r="4" spans="1:2" ht="12.6" customHeight="1" thickBot="1">
      <c r="A4" s="555" t="s">
        <v>288</v>
      </c>
      <c r="B4" s="556" t="s">
        <v>289</v>
      </c>
    </row>
    <row r="5" spans="1:2" ht="12.6" customHeight="1">
      <c r="A5" s="660" t="s">
        <v>290</v>
      </c>
      <c r="B5" s="557" t="s">
        <v>291</v>
      </c>
    </row>
    <row r="6" spans="1:2" ht="12.6" customHeight="1">
      <c r="A6" s="661"/>
      <c r="B6" s="558" t="s">
        <v>292</v>
      </c>
    </row>
    <row r="7" spans="1:2" ht="13.9" thickBot="1">
      <c r="A7" s="662"/>
      <c r="B7" s="559" t="s">
        <v>293</v>
      </c>
    </row>
    <row r="8" spans="1:2" ht="12.6" customHeight="1">
      <c r="A8" s="660" t="s">
        <v>294</v>
      </c>
      <c r="B8" s="557" t="s">
        <v>295</v>
      </c>
    </row>
    <row r="9" spans="1:2" ht="12.6" customHeight="1">
      <c r="A9" s="661"/>
      <c r="B9" s="558" t="s">
        <v>296</v>
      </c>
    </row>
    <row r="10" spans="1:2" ht="13.9" thickBot="1">
      <c r="A10" s="662"/>
      <c r="B10" s="559" t="s">
        <v>297</v>
      </c>
    </row>
    <row r="11" spans="1:2" ht="12.6" customHeight="1">
      <c r="A11" s="660" t="s">
        <v>298</v>
      </c>
      <c r="B11" s="560" t="s">
        <v>299</v>
      </c>
    </row>
    <row r="12" spans="1:2" ht="12.6" customHeight="1">
      <c r="A12" s="661"/>
      <c r="B12" s="561" t="s">
        <v>300</v>
      </c>
    </row>
    <row r="13" spans="1:2" ht="21.75" customHeight="1" thickBot="1">
      <c r="A13" s="662"/>
      <c r="B13" s="562" t="s">
        <v>301</v>
      </c>
    </row>
    <row r="14" spans="1:2" ht="12.6" customHeight="1">
      <c r="A14" s="660" t="s">
        <v>302</v>
      </c>
      <c r="B14" s="560" t="s">
        <v>303</v>
      </c>
    </row>
    <row r="15" spans="1:2" ht="27" customHeight="1">
      <c r="A15" s="661"/>
      <c r="B15" s="561" t="s">
        <v>304</v>
      </c>
    </row>
    <row r="16" spans="1:2" ht="13.9" thickBot="1">
      <c r="A16" s="662"/>
      <c r="B16" s="562" t="s">
        <v>305</v>
      </c>
    </row>
    <row r="17" spans="1:2" ht="12.6" customHeight="1">
      <c r="A17" s="660" t="s">
        <v>306</v>
      </c>
      <c r="B17" s="560" t="s">
        <v>307</v>
      </c>
    </row>
    <row r="18" spans="1:2" ht="12.6" customHeight="1">
      <c r="A18" s="661"/>
      <c r="B18" s="561" t="s">
        <v>308</v>
      </c>
    </row>
    <row r="19" spans="1:2" ht="13.9" thickBot="1">
      <c r="A19" s="662"/>
      <c r="B19" s="562" t="s">
        <v>309</v>
      </c>
    </row>
    <row r="20" spans="1:2" ht="12.6" customHeight="1">
      <c r="A20" s="660" t="s">
        <v>310</v>
      </c>
      <c r="B20" s="560" t="s">
        <v>311</v>
      </c>
    </row>
    <row r="21" spans="1:2" ht="12.6" customHeight="1">
      <c r="A21" s="661"/>
      <c r="B21" s="561" t="s">
        <v>312</v>
      </c>
    </row>
    <row r="22" spans="1:2" ht="13.9" thickBot="1">
      <c r="A22" s="662"/>
      <c r="B22" s="562" t="s">
        <v>313</v>
      </c>
    </row>
    <row r="23" spans="1:2" ht="12.6" customHeight="1">
      <c r="A23" s="660" t="s">
        <v>314</v>
      </c>
      <c r="B23" s="560" t="s">
        <v>315</v>
      </c>
    </row>
    <row r="24" spans="1:2" ht="12.6" customHeight="1">
      <c r="A24" s="661"/>
      <c r="B24" s="561" t="s">
        <v>316</v>
      </c>
    </row>
    <row r="25" spans="1:2" ht="12.6" customHeight="1">
      <c r="A25" s="661"/>
      <c r="B25" s="561" t="s">
        <v>317</v>
      </c>
    </row>
    <row r="26" spans="1:2" ht="13.9" thickBot="1">
      <c r="A26" s="662"/>
      <c r="B26" s="562" t="s">
        <v>318</v>
      </c>
    </row>
    <row r="27" spans="1:2" ht="12.6" customHeight="1">
      <c r="A27" s="660" t="s">
        <v>319</v>
      </c>
      <c r="B27" s="560" t="s">
        <v>320</v>
      </c>
    </row>
    <row r="28" spans="1:2" ht="12.6" customHeight="1">
      <c r="A28" s="661"/>
      <c r="B28" s="561" t="s">
        <v>321</v>
      </c>
    </row>
    <row r="29" spans="1:2" ht="12.6" customHeight="1">
      <c r="A29" s="661"/>
      <c r="B29" s="561" t="s">
        <v>322</v>
      </c>
    </row>
    <row r="30" spans="1:2" ht="12.6" customHeight="1">
      <c r="A30" s="661"/>
      <c r="B30" s="561" t="s">
        <v>323</v>
      </c>
    </row>
    <row r="31" spans="1:2" ht="13.9" thickBot="1">
      <c r="A31" s="662"/>
      <c r="B31" s="562" t="s">
        <v>324</v>
      </c>
    </row>
    <row r="32" spans="1:2" ht="12.6" customHeight="1">
      <c r="A32" s="660" t="s">
        <v>325</v>
      </c>
      <c r="B32" s="560" t="s">
        <v>326</v>
      </c>
    </row>
    <row r="33" spans="1:2" ht="12.6" customHeight="1">
      <c r="A33" s="661"/>
      <c r="B33" s="560" t="s">
        <v>327</v>
      </c>
    </row>
    <row r="34" spans="1:2" ht="13.9" thickBot="1">
      <c r="A34" s="662"/>
      <c r="B34" s="563" t="s">
        <v>328</v>
      </c>
    </row>
    <row r="35" spans="1:2" ht="12.6" customHeight="1">
      <c r="A35" s="660" t="s">
        <v>329</v>
      </c>
      <c r="B35" s="560" t="s">
        <v>330</v>
      </c>
    </row>
    <row r="36" spans="1:2" ht="13.9" thickBot="1">
      <c r="A36" s="661"/>
      <c r="B36" s="564" t="s">
        <v>331</v>
      </c>
    </row>
    <row r="37" spans="1:2" ht="12.6" customHeight="1">
      <c r="A37" s="660" t="s">
        <v>332</v>
      </c>
      <c r="B37" s="565" t="s">
        <v>333</v>
      </c>
    </row>
    <row r="38" spans="1:2" ht="33.6" customHeight="1" thickBot="1">
      <c r="A38" s="662"/>
      <c r="B38" s="562" t="s">
        <v>334</v>
      </c>
    </row>
    <row r="39" spans="1:2" ht="12.6" customHeight="1">
      <c r="A39" s="663" t="s">
        <v>335</v>
      </c>
      <c r="B39" s="566" t="s">
        <v>336</v>
      </c>
    </row>
    <row r="40" spans="1:2" ht="13.9" thickBot="1">
      <c r="A40" s="664"/>
      <c r="B40" s="559" t="s">
        <v>337</v>
      </c>
    </row>
    <row r="41" spans="1:2" ht="12.6" customHeight="1">
      <c r="A41" s="663" t="s">
        <v>338</v>
      </c>
      <c r="B41" s="567" t="s">
        <v>339</v>
      </c>
    </row>
    <row r="42" spans="1:2" ht="13.9" thickBot="1">
      <c r="A42" s="664"/>
      <c r="B42" s="568" t="s">
        <v>340</v>
      </c>
    </row>
  </sheetData>
  <mergeCells count="13">
    <mergeCell ref="A23:A26"/>
    <mergeCell ref="A37:A38"/>
    <mergeCell ref="A39:A40"/>
    <mergeCell ref="A41:A42"/>
    <mergeCell ref="A35:A36"/>
    <mergeCell ref="A32:A34"/>
    <mergeCell ref="A27:A31"/>
    <mergeCell ref="A20:A22"/>
    <mergeCell ref="A5:A7"/>
    <mergeCell ref="A8:A10"/>
    <mergeCell ref="A11:A13"/>
    <mergeCell ref="A14:A16"/>
    <mergeCell ref="A17:A19"/>
  </mergeCells>
  <hyperlinks>
    <hyperlink ref="A1" location="'Sumário Cap.XI'!A1" display="Voltar para Sumário" xr:uid="{3386D7C8-DD07-43D5-BF92-4CC7C5835154}"/>
  </hyperlinks>
  <pageMargins left="0.76666666666666672" right="0.511811024" top="0.78740157499999996" bottom="0.78740157499999996" header="0.31496062000000002" footer="0.31496062000000002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4B556-D779-401E-94FA-AAB663498369}">
  <sheetPr>
    <tabColor rgb="FF00678E"/>
  </sheetPr>
  <dimension ref="A1:F27"/>
  <sheetViews>
    <sheetView showGridLines="0" workbookViewId="0">
      <selection activeCell="J24" sqref="J24"/>
    </sheetView>
  </sheetViews>
  <sheetFormatPr defaultColWidth="8.85546875" defaultRowHeight="13.15"/>
  <cols>
    <col min="1" max="1" width="15.85546875" style="248" customWidth="1"/>
    <col min="2" max="6" width="14.28515625" style="248" customWidth="1"/>
    <col min="7" max="16384" width="8.85546875" style="248"/>
  </cols>
  <sheetData>
    <row r="1" spans="1:6">
      <c r="A1" s="591" t="s">
        <v>22</v>
      </c>
    </row>
    <row r="2" spans="1:6">
      <c r="A2" s="295" t="s">
        <v>341</v>
      </c>
    </row>
    <row r="3" spans="1:6" ht="13.9" thickBot="1">
      <c r="A3" s="531"/>
      <c r="B3" s="349"/>
      <c r="C3" s="349"/>
      <c r="D3" s="349"/>
      <c r="E3" s="349"/>
      <c r="F3" s="349"/>
    </row>
    <row r="4" spans="1:6" ht="25.15" customHeight="1">
      <c r="A4" s="375" t="s">
        <v>342</v>
      </c>
      <c r="B4" s="376" t="s">
        <v>343</v>
      </c>
      <c r="C4" s="376" t="s">
        <v>344</v>
      </c>
      <c r="D4" s="376" t="s">
        <v>345</v>
      </c>
      <c r="E4" s="376" t="s">
        <v>346</v>
      </c>
      <c r="F4" s="376" t="s">
        <v>347</v>
      </c>
    </row>
    <row r="5" spans="1:6" ht="12.6" customHeight="1">
      <c r="A5" s="369">
        <v>2027</v>
      </c>
      <c r="B5" s="369" t="s">
        <v>348</v>
      </c>
      <c r="C5" s="369">
        <v>74</v>
      </c>
      <c r="D5" s="369" t="s">
        <v>349</v>
      </c>
      <c r="E5" s="369" t="s">
        <v>349</v>
      </c>
      <c r="F5" s="369" t="s">
        <v>350</v>
      </c>
    </row>
    <row r="6" spans="1:6" ht="12.6" customHeight="1">
      <c r="A6" s="369">
        <v>2028</v>
      </c>
      <c r="B6" s="369" t="s">
        <v>351</v>
      </c>
      <c r="C6" s="369">
        <v>139</v>
      </c>
      <c r="D6" s="369" t="s">
        <v>352</v>
      </c>
      <c r="E6" s="369" t="s">
        <v>352</v>
      </c>
      <c r="F6" s="369" t="s">
        <v>353</v>
      </c>
    </row>
    <row r="7" spans="1:6" ht="12.6" customHeight="1">
      <c r="A7" s="369">
        <v>2028</v>
      </c>
      <c r="B7" s="369" t="s">
        <v>354</v>
      </c>
      <c r="C7" s="369">
        <v>140</v>
      </c>
      <c r="D7" s="369" t="s">
        <v>355</v>
      </c>
      <c r="E7" s="369" t="s">
        <v>356</v>
      </c>
      <c r="F7" s="369" t="s">
        <v>357</v>
      </c>
    </row>
    <row r="8" spans="1:6" ht="12.6" customHeight="1">
      <c r="A8" s="369">
        <v>2028</v>
      </c>
      <c r="B8" s="369" t="s">
        <v>358</v>
      </c>
      <c r="C8" s="369">
        <v>87</v>
      </c>
      <c r="D8" s="369" t="s">
        <v>352</v>
      </c>
      <c r="E8" s="369" t="s">
        <v>352</v>
      </c>
      <c r="F8" s="369" t="s">
        <v>353</v>
      </c>
    </row>
    <row r="9" spans="1:6" ht="12.6" customHeight="1">
      <c r="A9" s="369">
        <v>2029</v>
      </c>
      <c r="B9" s="369" t="s">
        <v>359</v>
      </c>
      <c r="C9" s="369">
        <v>140</v>
      </c>
      <c r="D9" s="369" t="s">
        <v>352</v>
      </c>
      <c r="E9" s="369" t="s">
        <v>352</v>
      </c>
      <c r="F9" s="369" t="s">
        <v>353</v>
      </c>
    </row>
    <row r="10" spans="1:6" ht="12.6" customHeight="1">
      <c r="A10" s="369">
        <v>2029</v>
      </c>
      <c r="B10" s="369" t="s">
        <v>360</v>
      </c>
      <c r="C10" s="369">
        <v>400</v>
      </c>
      <c r="D10" s="369" t="s">
        <v>361</v>
      </c>
      <c r="E10" s="369" t="s">
        <v>361</v>
      </c>
      <c r="F10" s="369" t="s">
        <v>362</v>
      </c>
    </row>
    <row r="11" spans="1:6" ht="12.6" customHeight="1">
      <c r="A11" s="369">
        <v>2029</v>
      </c>
      <c r="B11" s="369" t="s">
        <v>363</v>
      </c>
      <c r="C11" s="369">
        <v>118</v>
      </c>
      <c r="D11" s="369" t="s">
        <v>364</v>
      </c>
      <c r="E11" s="369" t="s">
        <v>364</v>
      </c>
      <c r="F11" s="369" t="s">
        <v>353</v>
      </c>
    </row>
    <row r="12" spans="1:6" ht="12.6" customHeight="1">
      <c r="A12" s="369" t="s">
        <v>365</v>
      </c>
      <c r="B12" s="369" t="s">
        <v>366</v>
      </c>
      <c r="C12" s="369">
        <v>650</v>
      </c>
      <c r="D12" s="369" t="s">
        <v>367</v>
      </c>
      <c r="E12" s="369" t="s">
        <v>367</v>
      </c>
      <c r="F12" s="369" t="s">
        <v>368</v>
      </c>
    </row>
    <row r="13" spans="1:6" ht="12.6" customHeight="1">
      <c r="A13" s="369" t="s">
        <v>365</v>
      </c>
      <c r="B13" s="369" t="s">
        <v>369</v>
      </c>
      <c r="C13" s="369">
        <v>342</v>
      </c>
      <c r="D13" s="369" t="s">
        <v>370</v>
      </c>
      <c r="E13" s="369" t="s">
        <v>370</v>
      </c>
      <c r="F13" s="369" t="s">
        <v>371</v>
      </c>
    </row>
    <row r="14" spans="1:6" ht="12.6" customHeight="1">
      <c r="A14" s="370" t="s">
        <v>365</v>
      </c>
      <c r="B14" s="370" t="s">
        <v>372</v>
      </c>
      <c r="C14" s="370">
        <v>142</v>
      </c>
      <c r="D14" s="370" t="s">
        <v>373</v>
      </c>
      <c r="E14" s="370" t="s">
        <v>374</v>
      </c>
      <c r="F14" s="370" t="s">
        <v>375</v>
      </c>
    </row>
    <row r="15" spans="1:6" ht="12.6" customHeight="1">
      <c r="A15" s="370" t="s">
        <v>365</v>
      </c>
      <c r="B15" s="370" t="s">
        <v>376</v>
      </c>
      <c r="C15" s="370">
        <v>93</v>
      </c>
      <c r="D15" s="370" t="s">
        <v>352</v>
      </c>
      <c r="E15" s="370" t="s">
        <v>352</v>
      </c>
      <c r="F15" s="370" t="s">
        <v>353</v>
      </c>
    </row>
    <row r="16" spans="1:6" ht="12.6" customHeight="1">
      <c r="A16" s="370" t="s">
        <v>365</v>
      </c>
      <c r="B16" s="370" t="s">
        <v>377</v>
      </c>
      <c r="C16" s="370">
        <v>63</v>
      </c>
      <c r="D16" s="370" t="s">
        <v>378</v>
      </c>
      <c r="E16" s="370" t="s">
        <v>379</v>
      </c>
      <c r="F16" s="370" t="s">
        <v>380</v>
      </c>
    </row>
    <row r="17" spans="1:6" ht="12.6" customHeight="1">
      <c r="A17" s="370" t="s">
        <v>365</v>
      </c>
      <c r="B17" s="370" t="s">
        <v>381</v>
      </c>
      <c r="C17" s="370">
        <v>92</v>
      </c>
      <c r="D17" s="370" t="s">
        <v>349</v>
      </c>
      <c r="E17" s="370" t="s">
        <v>382</v>
      </c>
      <c r="F17" s="370" t="s">
        <v>375</v>
      </c>
    </row>
    <row r="18" spans="1:6" ht="12.6" customHeight="1">
      <c r="A18" s="370" t="s">
        <v>365</v>
      </c>
      <c r="B18" s="370" t="s">
        <v>383</v>
      </c>
      <c r="C18" s="370">
        <v>724</v>
      </c>
      <c r="D18" s="370" t="s">
        <v>378</v>
      </c>
      <c r="E18" s="370" t="s">
        <v>378</v>
      </c>
      <c r="F18" s="370" t="s">
        <v>384</v>
      </c>
    </row>
    <row r="19" spans="1:6" ht="12.6" customHeight="1">
      <c r="A19" s="370" t="s">
        <v>365</v>
      </c>
      <c r="B19" s="370" t="s">
        <v>385</v>
      </c>
      <c r="C19" s="371">
        <v>1650</v>
      </c>
      <c r="D19" s="370" t="s">
        <v>386</v>
      </c>
      <c r="E19" s="370" t="s">
        <v>386</v>
      </c>
      <c r="F19" s="370" t="s">
        <v>387</v>
      </c>
    </row>
    <row r="20" spans="1:6" ht="12.6" customHeight="1">
      <c r="A20" s="370" t="s">
        <v>365</v>
      </c>
      <c r="B20" s="370" t="s">
        <v>388</v>
      </c>
      <c r="C20" s="370">
        <v>125</v>
      </c>
      <c r="D20" s="370" t="s">
        <v>373</v>
      </c>
      <c r="E20" s="370" t="s">
        <v>388</v>
      </c>
      <c r="F20" s="370" t="s">
        <v>375</v>
      </c>
    </row>
    <row r="21" spans="1:6" ht="12.6" customHeight="1">
      <c r="A21" s="370" t="s">
        <v>365</v>
      </c>
      <c r="B21" s="370" t="s">
        <v>389</v>
      </c>
      <c r="C21" s="370">
        <v>80</v>
      </c>
      <c r="D21" s="370" t="s">
        <v>373</v>
      </c>
      <c r="E21" s="370" t="s">
        <v>390</v>
      </c>
      <c r="F21" s="370" t="s">
        <v>375</v>
      </c>
    </row>
    <row r="22" spans="1:6" ht="12.6" customHeight="1">
      <c r="A22" s="370" t="s">
        <v>365</v>
      </c>
      <c r="B22" s="370" t="s">
        <v>391</v>
      </c>
      <c r="C22" s="370">
        <v>90</v>
      </c>
      <c r="D22" s="370" t="s">
        <v>373</v>
      </c>
      <c r="E22" s="370" t="s">
        <v>391</v>
      </c>
      <c r="F22" s="370" t="s">
        <v>392</v>
      </c>
    </row>
    <row r="23" spans="1:6" ht="12.6" customHeight="1">
      <c r="A23" s="370" t="s">
        <v>365</v>
      </c>
      <c r="B23" s="370" t="s">
        <v>393</v>
      </c>
      <c r="C23" s="370">
        <v>86</v>
      </c>
      <c r="D23" s="370" t="s">
        <v>373</v>
      </c>
      <c r="E23" s="370" t="s">
        <v>388</v>
      </c>
      <c r="F23" s="370" t="s">
        <v>375</v>
      </c>
    </row>
    <row r="24" spans="1:6" ht="12.6" customHeight="1">
      <c r="A24" s="370" t="s">
        <v>365</v>
      </c>
      <c r="B24" s="370" t="s">
        <v>394</v>
      </c>
      <c r="C24" s="370">
        <v>81</v>
      </c>
      <c r="D24" s="370" t="s">
        <v>395</v>
      </c>
      <c r="E24" s="370" t="s">
        <v>395</v>
      </c>
      <c r="F24" s="370" t="s">
        <v>396</v>
      </c>
    </row>
    <row r="25" spans="1:6" ht="12.6" customHeight="1">
      <c r="A25" s="370" t="s">
        <v>365</v>
      </c>
      <c r="B25" s="370" t="s">
        <v>397</v>
      </c>
      <c r="C25" s="370">
        <v>84</v>
      </c>
      <c r="D25" s="370" t="s">
        <v>378</v>
      </c>
      <c r="E25" s="370" t="s">
        <v>378</v>
      </c>
      <c r="F25" s="370" t="s">
        <v>384</v>
      </c>
    </row>
    <row r="26" spans="1:6" ht="12.6" customHeight="1">
      <c r="A26" s="370" t="s">
        <v>365</v>
      </c>
      <c r="B26" s="370" t="s">
        <v>398</v>
      </c>
      <c r="C26" s="370">
        <v>61</v>
      </c>
      <c r="D26" s="370" t="s">
        <v>378</v>
      </c>
      <c r="E26" s="370" t="s">
        <v>379</v>
      </c>
      <c r="F26" s="370" t="s">
        <v>380</v>
      </c>
    </row>
    <row r="27" spans="1:6" ht="12.6" customHeight="1" thickBot="1">
      <c r="A27" s="372"/>
      <c r="B27" s="373" t="s">
        <v>265</v>
      </c>
      <c r="C27" s="374">
        <v>5461</v>
      </c>
      <c r="D27" s="373"/>
      <c r="E27" s="373"/>
      <c r="F27" s="372"/>
    </row>
  </sheetData>
  <hyperlinks>
    <hyperlink ref="A1" location="'Sumário Cap.XI'!A1" display="Voltar para Sumário" xr:uid="{B9C1CB97-32D7-4D9A-8C8F-37294B7956A8}"/>
  </hyperlink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678E"/>
  </sheetPr>
  <dimension ref="A1:AG21"/>
  <sheetViews>
    <sheetView showGridLines="0" zoomScaleNormal="100" workbookViewId="0">
      <selection activeCell="Y28" sqref="Y28"/>
    </sheetView>
  </sheetViews>
  <sheetFormatPr defaultColWidth="8.85546875" defaultRowHeight="13.15"/>
  <cols>
    <col min="1" max="1" width="24.7109375" style="248" customWidth="1"/>
    <col min="2" max="2" width="21.5703125" style="248" customWidth="1"/>
    <col min="3" max="12" width="10.7109375" style="248" hidden="1" customWidth="1"/>
    <col min="13" max="13" width="10.7109375" style="248" customWidth="1"/>
    <col min="14" max="17" width="10.7109375" style="248" hidden="1" customWidth="1"/>
    <col min="18" max="18" width="10.7109375" style="248" customWidth="1"/>
    <col min="19" max="22" width="10.7109375" style="248" hidden="1" customWidth="1"/>
    <col min="23" max="23" width="10.7109375" style="248" customWidth="1"/>
    <col min="24" max="26" width="9.28515625" style="248" customWidth="1"/>
    <col min="27" max="16384" width="8.85546875" style="248"/>
  </cols>
  <sheetData>
    <row r="1" spans="1:33">
      <c r="A1" s="591" t="s">
        <v>22</v>
      </c>
    </row>
    <row r="2" spans="1:33">
      <c r="A2" s="248" t="s">
        <v>23</v>
      </c>
    </row>
    <row r="3" spans="1:33" ht="13.9" thickBot="1">
      <c r="A3" s="377"/>
      <c r="B3" s="377"/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7"/>
      <c r="O3" s="377"/>
      <c r="P3" s="377"/>
      <c r="Q3" s="377"/>
      <c r="R3" s="377"/>
      <c r="S3" s="377"/>
      <c r="T3" s="377"/>
      <c r="U3" s="377"/>
      <c r="V3" s="377"/>
      <c r="W3" s="377"/>
      <c r="X3" s="377"/>
      <c r="Y3" s="377"/>
      <c r="Z3" s="377"/>
      <c r="AA3" s="377"/>
    </row>
    <row r="4" spans="1:33" ht="13.9" thickBot="1">
      <c r="A4" s="592" t="s">
        <v>24</v>
      </c>
      <c r="B4" s="592"/>
      <c r="C4" s="592">
        <v>2011</v>
      </c>
      <c r="D4" s="592">
        <v>2012</v>
      </c>
      <c r="E4" s="592">
        <v>2013</v>
      </c>
      <c r="F4" s="592">
        <v>2014</v>
      </c>
      <c r="G4" s="592">
        <v>2015</v>
      </c>
      <c r="H4" s="592">
        <v>2016</v>
      </c>
      <c r="I4" s="592">
        <v>2017</v>
      </c>
      <c r="J4" s="592">
        <v>2018</v>
      </c>
      <c r="K4" s="592">
        <v>2019</v>
      </c>
      <c r="L4" s="592">
        <v>2020</v>
      </c>
      <c r="M4" s="592">
        <v>2021</v>
      </c>
      <c r="N4" s="592">
        <v>2022</v>
      </c>
      <c r="O4" s="592">
        <v>2023</v>
      </c>
      <c r="P4" s="592">
        <v>2024</v>
      </c>
      <c r="Q4" s="592">
        <v>2025</v>
      </c>
      <c r="R4" s="592">
        <v>2026</v>
      </c>
      <c r="S4" s="592">
        <v>2027</v>
      </c>
      <c r="T4" s="592">
        <v>2028</v>
      </c>
      <c r="U4" s="592">
        <v>2029</v>
      </c>
      <c r="V4" s="592">
        <v>2030</v>
      </c>
      <c r="W4" s="592">
        <v>2031</v>
      </c>
      <c r="X4" s="599" t="s">
        <v>25</v>
      </c>
      <c r="Y4" s="599"/>
      <c r="Z4" s="599"/>
      <c r="AA4" s="377"/>
    </row>
    <row r="5" spans="1:33">
      <c r="A5" s="593"/>
      <c r="B5" s="593"/>
      <c r="C5" s="593"/>
      <c r="D5" s="593"/>
      <c r="E5" s="593"/>
      <c r="F5" s="593"/>
      <c r="G5" s="593"/>
      <c r="H5" s="593"/>
      <c r="I5" s="593"/>
      <c r="J5" s="593"/>
      <c r="K5" s="593"/>
      <c r="L5" s="593"/>
      <c r="M5" s="593"/>
      <c r="N5" s="593"/>
      <c r="O5" s="593"/>
      <c r="P5" s="593"/>
      <c r="Q5" s="593"/>
      <c r="R5" s="593"/>
      <c r="S5" s="593"/>
      <c r="T5" s="593"/>
      <c r="U5" s="593"/>
      <c r="V5" s="593"/>
      <c r="W5" s="593"/>
      <c r="X5" s="378" t="s">
        <v>26</v>
      </c>
      <c r="Y5" s="378" t="s">
        <v>27</v>
      </c>
      <c r="Z5" s="378" t="s">
        <v>26</v>
      </c>
      <c r="AA5" s="377"/>
    </row>
    <row r="6" spans="1:33" ht="12.75">
      <c r="A6" s="594"/>
      <c r="B6" s="594"/>
      <c r="C6" s="594"/>
      <c r="D6" s="594"/>
      <c r="E6" s="594"/>
      <c r="F6" s="594"/>
      <c r="G6" s="594"/>
      <c r="H6" s="594"/>
      <c r="I6" s="594"/>
      <c r="J6" s="594"/>
      <c r="K6" s="594"/>
      <c r="L6" s="594"/>
      <c r="M6" s="594"/>
      <c r="N6" s="594"/>
      <c r="O6" s="594"/>
      <c r="P6" s="594"/>
      <c r="Q6" s="594"/>
      <c r="R6" s="594"/>
      <c r="S6" s="594"/>
      <c r="T6" s="594"/>
      <c r="U6" s="594"/>
      <c r="V6" s="594"/>
      <c r="W6" s="594"/>
      <c r="X6" s="379">
        <v>2026</v>
      </c>
      <c r="Y6" s="379">
        <v>2031</v>
      </c>
      <c r="Z6" s="379">
        <v>2031</v>
      </c>
      <c r="AA6" s="377"/>
    </row>
    <row r="7" spans="1:33" ht="15.75" customHeight="1">
      <c r="A7" s="380" t="s">
        <v>28</v>
      </c>
      <c r="B7" s="380" t="s">
        <v>29</v>
      </c>
      <c r="C7" s="381">
        <v>0.19831973999999999</v>
      </c>
      <c r="D7" s="381">
        <v>0.20013758800000001</v>
      </c>
      <c r="E7" s="381">
        <v>0.20190063800000002</v>
      </c>
      <c r="F7" s="381" t="e">
        <v>#REF!</v>
      </c>
      <c r="G7" s="382">
        <v>0.2052660405</v>
      </c>
      <c r="H7" s="382">
        <v>206.87118049999998</v>
      </c>
      <c r="I7" s="382">
        <v>208.42386550000001</v>
      </c>
      <c r="J7" s="382">
        <v>209.92290750000001</v>
      </c>
      <c r="K7" s="382">
        <v>210.95140900000001</v>
      </c>
      <c r="L7" s="381">
        <v>212.536666</v>
      </c>
      <c r="M7" s="381">
        <v>214.07309000000001</v>
      </c>
      <c r="N7" s="381">
        <v>215.55640500000001</v>
      </c>
      <c r="O7" s="381">
        <v>216.98436599999997</v>
      </c>
      <c r="P7" s="381">
        <v>218.35677799999999</v>
      </c>
      <c r="Q7" s="381">
        <v>219.67281199999999</v>
      </c>
      <c r="R7" s="381">
        <v>220.930882</v>
      </c>
      <c r="S7" s="381">
        <v>222.12945199999999</v>
      </c>
      <c r="T7" s="381">
        <v>223.26748699999999</v>
      </c>
      <c r="U7" s="381">
        <v>224.34488400000001</v>
      </c>
      <c r="V7" s="381">
        <v>225.36143899999999</v>
      </c>
      <c r="W7" s="381">
        <v>226.31610850000001</v>
      </c>
      <c r="X7" s="383">
        <v>6.0000000000000001E-3</v>
      </c>
      <c r="Y7" s="383">
        <v>5.0000000000000001E-3</v>
      </c>
      <c r="Z7" s="384">
        <v>6.0000000000000001E-3</v>
      </c>
      <c r="AA7" s="377"/>
      <c r="AE7" s="682"/>
      <c r="AF7" s="682"/>
      <c r="AG7" s="682"/>
    </row>
    <row r="8" spans="1:33" ht="15.75" customHeight="1">
      <c r="A8" s="600" t="s">
        <v>30</v>
      </c>
      <c r="B8" s="385" t="s">
        <v>31</v>
      </c>
      <c r="C8" s="386">
        <v>4039.0229999999965</v>
      </c>
      <c r="D8" s="386">
        <v>4110.2530348642767</v>
      </c>
      <c r="E8" s="386">
        <v>4222.9604713965437</v>
      </c>
      <c r="F8" s="386" t="e">
        <v>#REF!</v>
      </c>
      <c r="G8" s="386">
        <v>4081.3873481789801</v>
      </c>
      <c r="H8" s="386">
        <v>3938.5387909927153</v>
      </c>
      <c r="I8" s="386">
        <v>6559.94</v>
      </c>
      <c r="J8" s="386">
        <v>6731.4957685243289</v>
      </c>
      <c r="K8" s="386">
        <v>4129.2609989941684</v>
      </c>
      <c r="L8" s="386">
        <v>3922.7979490444604</v>
      </c>
      <c r="M8" s="386">
        <v>4190</v>
      </c>
      <c r="N8" s="386">
        <v>4125.3869263249126</v>
      </c>
      <c r="O8" s="386">
        <v>4240.8977602620098</v>
      </c>
      <c r="P8" s="386">
        <v>4363.8837953096081</v>
      </c>
      <c r="Q8" s="386">
        <v>4494.800309168897</v>
      </c>
      <c r="R8" s="386">
        <v>4811</v>
      </c>
      <c r="S8" s="386">
        <v>4768.5336479972821</v>
      </c>
      <c r="T8" s="386">
        <v>4911.5896574372009</v>
      </c>
      <c r="U8" s="386">
        <v>5058.9373471603167</v>
      </c>
      <c r="V8" s="386">
        <v>5210.705467575126</v>
      </c>
      <c r="W8" s="386">
        <v>5577</v>
      </c>
      <c r="X8" s="384">
        <v>2.8000000000000001E-2</v>
      </c>
      <c r="Y8" s="384">
        <v>0.03</v>
      </c>
      <c r="Z8" s="384">
        <v>2.9000000000000001E-2</v>
      </c>
      <c r="AA8" s="377"/>
      <c r="AB8" s="423"/>
      <c r="AC8" s="423"/>
      <c r="AD8" s="423"/>
      <c r="AE8" s="682"/>
      <c r="AF8" s="682"/>
      <c r="AG8" s="682"/>
    </row>
    <row r="9" spans="1:33" ht="15.75" customHeight="1">
      <c r="A9" s="601"/>
      <c r="B9" s="380" t="s">
        <v>32</v>
      </c>
      <c r="C9" s="387">
        <v>20366.217704803348</v>
      </c>
      <c r="D9" s="387">
        <v>20537.136856392397</v>
      </c>
      <c r="E9" s="387">
        <v>20916.033318312464</v>
      </c>
      <c r="F9" s="387" t="e">
        <v>#REF!</v>
      </c>
      <c r="G9" s="388">
        <v>19883.402720865462</v>
      </c>
      <c r="H9" s="388">
        <v>19.03860548131167</v>
      </c>
      <c r="I9" s="388">
        <v>31.47403481968335</v>
      </c>
      <c r="J9" s="388">
        <v>32.066513601067236</v>
      </c>
      <c r="K9" s="387">
        <f>K8/K7</f>
        <v>19.574465127152425</v>
      </c>
      <c r="L9" s="387">
        <f t="shared" ref="L9" si="0">L8/L7</f>
        <v>18.457040956144766</v>
      </c>
      <c r="M9" s="387">
        <v>19.600000000000001</v>
      </c>
      <c r="N9" s="387">
        <v>19.138317538395171</v>
      </c>
      <c r="O9" s="387">
        <v>19.544715771190678</v>
      </c>
      <c r="P9" s="387">
        <v>19.985108020368429</v>
      </c>
      <c r="Q9" s="387">
        <v>20.461340974543983</v>
      </c>
      <c r="R9" s="387">
        <v>21.8</v>
      </c>
      <c r="S9" s="387">
        <v>21.46736331027946</v>
      </c>
      <c r="T9" s="387">
        <v>21.998678461576453</v>
      </c>
      <c r="U9" s="387">
        <v>22.54982265234235</v>
      </c>
      <c r="V9" s="387">
        <v>23.121548614069358</v>
      </c>
      <c r="W9" s="387">
        <v>24.6</v>
      </c>
      <c r="X9" s="384">
        <v>2.1999999999999999E-2</v>
      </c>
      <c r="Y9" s="384">
        <v>2.5000000000000001E-2</v>
      </c>
      <c r="Z9" s="384">
        <v>2.3E-2</v>
      </c>
      <c r="AA9" s="377"/>
      <c r="AE9" s="682"/>
      <c r="AF9" s="682"/>
      <c r="AG9" s="682"/>
    </row>
    <row r="10" spans="1:33" ht="15.75" customHeight="1">
      <c r="A10" s="595" t="s">
        <v>33</v>
      </c>
      <c r="B10" s="380" t="s">
        <v>34</v>
      </c>
      <c r="C10" s="387">
        <v>272.38009024982671</v>
      </c>
      <c r="D10" s="387">
        <v>283.25673625590736</v>
      </c>
      <c r="E10" s="387">
        <v>296.30113141593756</v>
      </c>
      <c r="F10" s="387">
        <v>305.58874921989974</v>
      </c>
      <c r="G10" s="388">
        <v>299.2114043612782</v>
      </c>
      <c r="H10" s="388">
        <v>287.75539968148428</v>
      </c>
      <c r="I10" s="388">
        <v>293.49247549731285</v>
      </c>
      <c r="J10" s="388">
        <v>307.13846782222902</v>
      </c>
      <c r="K10" s="388">
        <v>285.09466650499803</v>
      </c>
      <c r="L10" s="387">
        <v>251.76305896481929</v>
      </c>
      <c r="M10" s="387">
        <v>295.01379398223486</v>
      </c>
      <c r="N10" s="387">
        <v>301.10068424750739</v>
      </c>
      <c r="O10" s="387">
        <v>308.62886302525652</v>
      </c>
      <c r="P10" s="387">
        <v>317.82411987173253</v>
      </c>
      <c r="Q10" s="387">
        <v>326.21306192824034</v>
      </c>
      <c r="R10" s="387">
        <v>336.06527612744446</v>
      </c>
      <c r="S10" s="387">
        <v>347.57556561220838</v>
      </c>
      <c r="T10" s="387">
        <v>357.53872425410196</v>
      </c>
      <c r="U10" s="387">
        <v>366.39790337909591</v>
      </c>
      <c r="V10" s="387">
        <v>376.11269995486003</v>
      </c>
      <c r="W10" s="387">
        <v>384.42530429158279</v>
      </c>
      <c r="X10" s="384">
        <v>2.5999999999999999E-2</v>
      </c>
      <c r="Y10" s="384">
        <v>2.7E-2</v>
      </c>
      <c r="Z10" s="384">
        <v>2.7E-2</v>
      </c>
      <c r="AA10" s="377"/>
      <c r="AE10" s="682"/>
      <c r="AF10" s="682"/>
      <c r="AG10" s="682"/>
    </row>
    <row r="11" spans="1:33" ht="15.75" customHeight="1">
      <c r="A11" s="596"/>
      <c r="B11" s="380" t="s">
        <v>35</v>
      </c>
      <c r="C11" s="389">
        <v>6.7437122851201126E-2</v>
      </c>
      <c r="D11" s="389">
        <v>6.8914671153636337E-2</v>
      </c>
      <c r="E11" s="389">
        <v>7.0164315631860513E-2</v>
      </c>
      <c r="F11" s="389" t="e">
        <v>#REF!</v>
      </c>
      <c r="G11" s="389">
        <v>7.3311200049360509E-2</v>
      </c>
      <c r="H11" s="389">
        <v>7.3061461357082386E-2</v>
      </c>
      <c r="I11" s="389">
        <v>4.4740115839064516E-2</v>
      </c>
      <c r="J11" s="389">
        <v>4.5627075821449946E-2</v>
      </c>
      <c r="K11" s="389">
        <f>K10/K8</f>
        <v>6.9042539712176873E-2</v>
      </c>
      <c r="L11" s="389">
        <f t="shared" ref="L11" si="1">L10/L8</f>
        <v>6.4179461250647718E-2</v>
      </c>
      <c r="M11" s="389">
        <v>7.0000000000000007E-2</v>
      </c>
      <c r="N11" s="389">
        <v>7.2987259043781852E-2</v>
      </c>
      <c r="O11" s="389">
        <v>7.277441722768363E-2</v>
      </c>
      <c r="P11" s="389">
        <v>7.2830564419093011E-2</v>
      </c>
      <c r="Q11" s="389">
        <v>7.2575651750935777E-2</v>
      </c>
      <c r="R11" s="389">
        <v>7.0000000000000007E-2</v>
      </c>
      <c r="S11" s="389">
        <v>7.2889401914608548E-2</v>
      </c>
      <c r="T11" s="389">
        <v>7.2794909426668331E-2</v>
      </c>
      <c r="U11" s="389">
        <v>7.2425863029270843E-2</v>
      </c>
      <c r="V11" s="389">
        <v>7.2180763678797846E-2</v>
      </c>
      <c r="W11" s="389">
        <v>6.9000000000000006E-2</v>
      </c>
      <c r="X11" s="384">
        <v>-2E-3</v>
      </c>
      <c r="Y11" s="384">
        <v>-3.0000000000000001E-3</v>
      </c>
      <c r="Z11" s="384">
        <v>-2E-3</v>
      </c>
      <c r="AA11" s="377"/>
      <c r="AE11" s="682"/>
      <c r="AF11" s="682"/>
      <c r="AG11" s="682"/>
    </row>
    <row r="12" spans="1:33" ht="15.75" customHeight="1">
      <c r="A12" s="596"/>
      <c r="B12" s="380" t="s">
        <v>36</v>
      </c>
      <c r="C12" s="389">
        <v>1373.4391253731308</v>
      </c>
      <c r="D12" s="389">
        <v>1415.3100328955065</v>
      </c>
      <c r="E12" s="389">
        <v>1467.5591635125866</v>
      </c>
      <c r="F12" s="389" t="e">
        <v>#REF!</v>
      </c>
      <c r="G12" s="390">
        <v>1457.6761145313669</v>
      </c>
      <c r="H12" s="390">
        <v>1.3909883386655895</v>
      </c>
      <c r="I12" s="390">
        <v>1.4081519637553832</v>
      </c>
      <c r="J12" s="390">
        <v>1.4631012474054506</v>
      </c>
      <c r="K12" s="390">
        <f>K10/K7</f>
        <v>1.3514707858860426</v>
      </c>
      <c r="L12" s="390">
        <f t="shared" ref="L12" si="2">L10/L7</f>
        <v>1.1845629448465109</v>
      </c>
      <c r="M12" s="390">
        <v>1.3780984521792761</v>
      </c>
      <c r="N12" s="390">
        <v>1.3968533398370018</v>
      </c>
      <c r="O12" s="390">
        <v>1.4223553001291189</v>
      </c>
      <c r="P12" s="390">
        <v>1.4555266970999752</v>
      </c>
      <c r="Q12" s="390">
        <v>1.484995156925657</v>
      </c>
      <c r="R12" s="390">
        <v>1.5211330941386658</v>
      </c>
      <c r="S12" s="390">
        <v>1.5647432723698809</v>
      </c>
      <c r="T12" s="390">
        <v>1.6013918061168575</v>
      </c>
      <c r="U12" s="390">
        <v>1.633190366752896</v>
      </c>
      <c r="V12" s="390">
        <v>1.6689310363999763</v>
      </c>
      <c r="W12" s="390">
        <v>1.6986210431043303</v>
      </c>
      <c r="X12" s="384">
        <v>0.02</v>
      </c>
      <c r="Y12" s="384">
        <v>2.1999999999999999E-2</v>
      </c>
      <c r="Z12" s="384">
        <v>2.1000000000000001E-2</v>
      </c>
      <c r="AA12" s="377"/>
      <c r="AE12" s="682"/>
      <c r="AF12" s="682"/>
      <c r="AG12" s="682"/>
    </row>
    <row r="13" spans="1:33" ht="15.75" customHeight="1">
      <c r="A13" s="595" t="s">
        <v>37</v>
      </c>
      <c r="B13" s="385" t="s">
        <v>38</v>
      </c>
      <c r="C13" s="387">
        <v>567.64446729119629</v>
      </c>
      <c r="D13" s="387">
        <v>592.75278040919386</v>
      </c>
      <c r="E13" s="387">
        <v>610.92417681054894</v>
      </c>
      <c r="F13" s="387">
        <v>624.00410750154833</v>
      </c>
      <c r="G13" s="388">
        <v>615.66201765859023</v>
      </c>
      <c r="H13" s="388">
        <v>645.68407351211283</v>
      </c>
      <c r="I13" s="388">
        <v>624.06715191902299</v>
      </c>
      <c r="J13" s="388">
        <v>686.34318624444802</v>
      </c>
      <c r="K13" s="388">
        <v>595.33028849665811</v>
      </c>
      <c r="L13" s="387">
        <v>68.051014953689872</v>
      </c>
      <c r="M13" s="387">
        <v>674.21217461657989</v>
      </c>
      <c r="N13" s="387">
        <v>699.11241178973171</v>
      </c>
      <c r="O13" s="387">
        <v>723.85848993441164</v>
      </c>
      <c r="P13" s="387">
        <v>749.24587263048659</v>
      </c>
      <c r="Q13" s="387">
        <v>775.48580774499328</v>
      </c>
      <c r="R13" s="387">
        <v>804.50734711303528</v>
      </c>
      <c r="S13" s="387">
        <v>833.5122280927369</v>
      </c>
      <c r="T13" s="387">
        <v>862.39781882214095</v>
      </c>
      <c r="U13" s="387">
        <v>889.04566663559831</v>
      </c>
      <c r="V13" s="387">
        <v>916.91016674847606</v>
      </c>
      <c r="W13" s="387">
        <v>945.14826506582779</v>
      </c>
      <c r="X13" s="384">
        <v>3.5999999999999997E-2</v>
      </c>
      <c r="Y13" s="384">
        <v>3.3000000000000002E-2</v>
      </c>
      <c r="Z13" s="384">
        <v>3.4000000000000002E-2</v>
      </c>
      <c r="AA13" s="377"/>
      <c r="AE13" s="682"/>
      <c r="AF13" s="682"/>
      <c r="AG13" s="682"/>
    </row>
    <row r="14" spans="1:33" ht="15.75" customHeight="1">
      <c r="A14" s="596"/>
      <c r="B14" s="380" t="s">
        <v>39</v>
      </c>
      <c r="C14" s="387">
        <v>140.54004329541991</v>
      </c>
      <c r="D14" s="387">
        <v>144.21320910934304</v>
      </c>
      <c r="E14" s="387">
        <v>144.66727333787114</v>
      </c>
      <c r="F14" s="387" t="e">
        <v>#REF!</v>
      </c>
      <c r="G14" s="388">
        <v>150.84626014075442</v>
      </c>
      <c r="H14" s="388">
        <v>163.94000612327778</v>
      </c>
      <c r="I14" s="388">
        <v>95.133057911966119</v>
      </c>
      <c r="J14" s="388">
        <v>101.95998182955218</v>
      </c>
      <c r="K14" s="388">
        <f>K13/K8*1000</f>
        <v>144.17356729004837</v>
      </c>
      <c r="L14" s="387">
        <f t="shared" ref="L14" si="3">L13/L8*1000</f>
        <v>17.347570748645406</v>
      </c>
      <c r="M14" s="387">
        <v>160.9</v>
      </c>
      <c r="N14" s="387">
        <v>167.2</v>
      </c>
      <c r="O14" s="387">
        <v>169.5</v>
      </c>
      <c r="P14" s="387">
        <v>171.69244365209531</v>
      </c>
      <c r="Q14" s="387">
        <v>172.52953510817551</v>
      </c>
      <c r="R14" s="387">
        <v>167.2</v>
      </c>
      <c r="S14" s="387">
        <v>174.79424276324451</v>
      </c>
      <c r="T14" s="387">
        <v>175.58425661970469</v>
      </c>
      <c r="U14" s="387">
        <v>175.73763136929094</v>
      </c>
      <c r="V14" s="387">
        <v>175.96660806375857</v>
      </c>
      <c r="W14" s="387">
        <v>169.5</v>
      </c>
      <c r="X14" s="384">
        <v>8.0000000000000002E-3</v>
      </c>
      <c r="Y14" s="384">
        <v>3.0000000000000001E-3</v>
      </c>
      <c r="Z14" s="384">
        <v>5.0000000000000001E-3</v>
      </c>
      <c r="AA14" s="377"/>
      <c r="AE14" s="682"/>
      <c r="AF14" s="682"/>
      <c r="AG14" s="682"/>
    </row>
    <row r="15" spans="1:33" ht="15.75" customHeight="1">
      <c r="A15" s="597"/>
      <c r="B15" s="380" t="s">
        <v>40</v>
      </c>
      <c r="C15" s="391">
        <v>2862269.1179970098</v>
      </c>
      <c r="D15" s="391">
        <v>2961726.411978113</v>
      </c>
      <c r="E15" s="391">
        <v>3025865.509204329</v>
      </c>
      <c r="F15" s="391" t="e">
        <v>#REF!</v>
      </c>
      <c r="G15" s="391">
        <v>2999336.9393150555</v>
      </c>
      <c r="H15" s="391">
        <v>3121.189099184905</v>
      </c>
      <c r="I15" s="391">
        <v>2994.2211772241744</v>
      </c>
      <c r="J15" s="391">
        <v>3269.5011441019033</v>
      </c>
      <c r="K15" s="391">
        <f>K13/K7*1000</f>
        <v>2822.1204651762155</v>
      </c>
      <c r="L15" s="391">
        <f t="shared" ref="L15" si="4">L13/L7*1000</f>
        <v>320.18482379736713</v>
      </c>
      <c r="M15" s="391">
        <v>3149.4485113312462</v>
      </c>
      <c r="N15" s="391">
        <v>3243.2922222363636</v>
      </c>
      <c r="O15" s="391">
        <v>3335.9937551187982</v>
      </c>
      <c r="P15" s="391">
        <v>3431.2920326681437</v>
      </c>
      <c r="Q15" s="391">
        <v>3530.1856460279359</v>
      </c>
      <c r="R15" s="391">
        <v>3641.4436036743623</v>
      </c>
      <c r="S15" s="391">
        <v>3752.3715139437568</v>
      </c>
      <c r="T15" s="391">
        <v>3862.6216042918109</v>
      </c>
      <c r="U15" s="391">
        <v>3962.8524207202258</v>
      </c>
      <c r="V15" s="391">
        <v>4068.6204827990828</v>
      </c>
      <c r="W15" s="391">
        <v>4176.2306330299407</v>
      </c>
      <c r="X15" s="384">
        <v>2.9000000000000001E-2</v>
      </c>
      <c r="Y15" s="384">
        <v>2.8000000000000001E-2</v>
      </c>
      <c r="Z15" s="384">
        <v>2.9000000000000001E-2</v>
      </c>
      <c r="AA15" s="377"/>
      <c r="AB15" s="423"/>
      <c r="AC15" s="423"/>
      <c r="AD15" s="423"/>
      <c r="AE15" s="682"/>
      <c r="AF15" s="682"/>
      <c r="AG15" s="682"/>
    </row>
    <row r="16" spans="1:33" ht="15.75" customHeight="1">
      <c r="A16" s="595" t="s">
        <v>41</v>
      </c>
      <c r="B16" s="380" t="s">
        <v>34</v>
      </c>
      <c r="C16" s="387">
        <v>228.92785796378885</v>
      </c>
      <c r="D16" s="387">
        <v>236.16484034911321</v>
      </c>
      <c r="E16" s="387">
        <v>243.8800325337962</v>
      </c>
      <c r="F16" s="387">
        <v>265.863500106044</v>
      </c>
      <c r="G16" s="388">
        <v>260.68351512817139</v>
      </c>
      <c r="H16" s="388">
        <v>256.14125840229013</v>
      </c>
      <c r="I16" s="388">
        <v>260.0103816640879</v>
      </c>
      <c r="J16" s="388">
        <v>263.19846608138249</v>
      </c>
      <c r="K16" s="388">
        <v>244.11312182146813</v>
      </c>
      <c r="L16" s="387">
        <v>241.93594681497586</v>
      </c>
      <c r="M16" s="387">
        <v>247.3545696053113</v>
      </c>
      <c r="N16" s="387">
        <v>254.10201222327561</v>
      </c>
      <c r="O16" s="387">
        <v>260.63919689724378</v>
      </c>
      <c r="P16" s="387">
        <v>267.79723051357581</v>
      </c>
      <c r="Q16" s="387">
        <v>274.74805167847728</v>
      </c>
      <c r="R16" s="387">
        <v>281.58022648680424</v>
      </c>
      <c r="S16" s="387">
        <v>288.52694386625683</v>
      </c>
      <c r="T16" s="387">
        <v>296.03424792081023</v>
      </c>
      <c r="U16" s="387">
        <v>302.84257242493527</v>
      </c>
      <c r="V16" s="387">
        <v>310.16017783225158</v>
      </c>
      <c r="W16" s="387">
        <v>316.89901232631297</v>
      </c>
      <c r="X16" s="384">
        <v>2.5999999999999999E-2</v>
      </c>
      <c r="Y16" s="384">
        <v>2.4E-2</v>
      </c>
      <c r="Z16" s="384">
        <v>2.5000000000000001E-2</v>
      </c>
      <c r="AA16" s="377"/>
      <c r="AE16" s="682"/>
      <c r="AF16" s="682"/>
      <c r="AG16" s="682"/>
    </row>
    <row r="17" spans="1:33" ht="15.75" customHeight="1">
      <c r="A17" s="596"/>
      <c r="B17" s="380" t="s">
        <v>35</v>
      </c>
      <c r="C17" s="389">
        <v>5.6679018159537353E-2</v>
      </c>
      <c r="D17" s="389">
        <v>5.7457494306530334E-2</v>
      </c>
      <c r="E17" s="389">
        <v>5.7750962668410781E-2</v>
      </c>
      <c r="F17" s="389" t="e">
        <v>#REF!</v>
      </c>
      <c r="G17" s="389">
        <v>6.3871299852115801E-2</v>
      </c>
      <c r="H17" s="389">
        <v>6.5034590744180359E-2</v>
      </c>
      <c r="I17" s="389">
        <v>3.9636091437435086E-2</v>
      </c>
      <c r="J17" s="389">
        <v>3.9099551590311789E-2</v>
      </c>
      <c r="K17" s="389">
        <f t="shared" ref="K17:L17" si="5">K16/K8</f>
        <v>5.9117871667819191E-2</v>
      </c>
      <c r="L17" s="389">
        <f t="shared" si="5"/>
        <v>6.1674332952557018E-2</v>
      </c>
      <c r="M17" s="389">
        <v>5.8999999999999997E-2</v>
      </c>
      <c r="N17" s="389">
        <v>5.8999999999999997E-2</v>
      </c>
      <c r="O17" s="389">
        <v>5.7000000000000002E-2</v>
      </c>
      <c r="P17" s="389">
        <v>6.1366718976662432E-2</v>
      </c>
      <c r="Q17" s="389">
        <v>6.1125752598624135E-2</v>
      </c>
      <c r="R17" s="389">
        <v>5.8999999999999997E-2</v>
      </c>
      <c r="S17" s="389">
        <v>6.0506429264147926E-2</v>
      </c>
      <c r="T17" s="389">
        <v>6.0272593715672243E-2</v>
      </c>
      <c r="U17" s="389">
        <v>5.9862882586384843E-2</v>
      </c>
      <c r="V17" s="389">
        <v>5.9523644113507898E-2</v>
      </c>
      <c r="W17" s="389">
        <v>5.7000000000000002E-2</v>
      </c>
      <c r="X17" s="384">
        <v>-2E-3</v>
      </c>
      <c r="Y17" s="384">
        <v>-6.0000000000000001E-3</v>
      </c>
      <c r="Z17" s="384">
        <v>-4.0000000000000001E-3</v>
      </c>
      <c r="AA17" s="377"/>
      <c r="AE17" s="682"/>
      <c r="AF17" s="682"/>
      <c r="AG17" s="682"/>
    </row>
    <row r="18" spans="1:33" ht="15.75" customHeight="1">
      <c r="A18" s="598"/>
      <c r="B18" s="392" t="s">
        <v>36</v>
      </c>
      <c r="C18" s="393">
        <v>1154.3372231316403</v>
      </c>
      <c r="D18" s="393">
        <v>1180.0124239986003</v>
      </c>
      <c r="E18" s="393">
        <v>1207.9210593370992</v>
      </c>
      <c r="F18" s="393" t="e">
        <v>#REF!</v>
      </c>
      <c r="G18" s="394">
        <v>1269.978777264773</v>
      </c>
      <c r="H18" s="394">
        <v>1.2381679158170134</v>
      </c>
      <c r="I18" s="394">
        <v>1.2475077220179851</v>
      </c>
      <c r="J18" s="394">
        <v>1.2537863028663629</v>
      </c>
      <c r="K18" s="394">
        <f t="shared" ref="K18:L18" si="6">K16/K7</f>
        <v>1.1572007173531991</v>
      </c>
      <c r="L18" s="394">
        <f t="shared" si="6"/>
        <v>1.1383256892482536</v>
      </c>
      <c r="M18" s="394">
        <v>1.155467833931445</v>
      </c>
      <c r="N18" s="394">
        <v>1.1788191226480864</v>
      </c>
      <c r="O18" s="394">
        <v>1.2011888307991914</v>
      </c>
      <c r="P18" s="394">
        <v>1.2264205076041919</v>
      </c>
      <c r="Q18" s="394">
        <v>1.2507148662460663</v>
      </c>
      <c r="R18" s="394">
        <v>1.2745172786066379</v>
      </c>
      <c r="S18" s="394">
        <v>1.2989134996211886</v>
      </c>
      <c r="T18" s="394">
        <v>1.3259174091963075</v>
      </c>
      <c r="U18" s="394">
        <v>1.3498973857809713</v>
      </c>
      <c r="V18" s="394">
        <v>1.3762788310570362</v>
      </c>
      <c r="W18" s="394">
        <v>1.400249475950639</v>
      </c>
      <c r="X18" s="395">
        <v>0.02</v>
      </c>
      <c r="Y18" s="395">
        <v>1.9E-2</v>
      </c>
      <c r="Z18" s="395">
        <v>1.9E-2</v>
      </c>
      <c r="AA18" s="377"/>
      <c r="AE18" s="682"/>
      <c r="AF18" s="682"/>
      <c r="AG18" s="682"/>
    </row>
    <row r="19" spans="1:33" ht="12.75">
      <c r="A19" s="396"/>
      <c r="B19" s="397"/>
      <c r="C19" s="397"/>
      <c r="D19" s="397"/>
      <c r="E19" s="397"/>
      <c r="F19" s="397"/>
      <c r="G19" s="397"/>
      <c r="H19" s="397"/>
      <c r="I19" s="397"/>
      <c r="J19" s="397"/>
      <c r="K19" s="397"/>
      <c r="L19" s="397"/>
      <c r="M19" s="397"/>
      <c r="N19" s="397"/>
      <c r="O19" s="397"/>
      <c r="P19" s="397"/>
      <c r="Q19" s="397"/>
      <c r="R19" s="397"/>
      <c r="S19" s="397"/>
      <c r="T19" s="397"/>
      <c r="U19" s="397"/>
      <c r="V19" s="397"/>
      <c r="W19" s="397"/>
      <c r="X19" s="397"/>
      <c r="Y19" s="397"/>
      <c r="Z19" s="397"/>
      <c r="AA19" s="377"/>
    </row>
    <row r="20" spans="1:33" ht="12.75">
      <c r="A20" s="398"/>
      <c r="B20" s="398"/>
      <c r="C20" s="377"/>
      <c r="D20" s="377"/>
      <c r="E20" s="377"/>
      <c r="F20" s="377"/>
      <c r="G20" s="377"/>
      <c r="H20" s="377"/>
      <c r="I20" s="377"/>
      <c r="J20" s="377"/>
      <c r="K20" s="377"/>
      <c r="L20" s="377"/>
      <c r="M20" s="377"/>
      <c r="N20" s="377"/>
      <c r="O20" s="377"/>
      <c r="P20" s="377"/>
      <c r="Q20" s="377"/>
      <c r="R20" s="377"/>
      <c r="S20" s="377"/>
      <c r="T20" s="377"/>
      <c r="U20" s="377"/>
      <c r="V20" s="377"/>
      <c r="W20" s="377"/>
      <c r="X20" s="377"/>
      <c r="Y20" s="377"/>
      <c r="Z20" s="377"/>
      <c r="AA20" s="377"/>
    </row>
    <row r="21" spans="1:33" ht="12.75" customHeight="1">
      <c r="A21" s="398"/>
      <c r="B21" s="398"/>
      <c r="C21" s="377"/>
      <c r="D21" s="377"/>
      <c r="E21" s="377"/>
      <c r="F21" s="377"/>
      <c r="G21" s="377"/>
      <c r="H21" s="377"/>
      <c r="I21" s="377"/>
      <c r="J21" s="377"/>
      <c r="K21" s="377"/>
      <c r="L21" s="377"/>
      <c r="M21" s="377"/>
      <c r="N21" s="377"/>
      <c r="O21" s="377"/>
      <c r="P21" s="377"/>
      <c r="Q21" s="377"/>
      <c r="R21" s="377"/>
      <c r="S21" s="377"/>
      <c r="T21" s="377"/>
      <c r="U21" s="377"/>
      <c r="V21" s="377"/>
      <c r="W21" s="377"/>
      <c r="X21" s="377"/>
      <c r="Y21" s="377"/>
      <c r="Z21" s="377"/>
      <c r="AA21" s="377"/>
    </row>
  </sheetData>
  <mergeCells count="27">
    <mergeCell ref="W4:W6"/>
    <mergeCell ref="X4:Z4"/>
    <mergeCell ref="A8:A9"/>
    <mergeCell ref="A10:A12"/>
    <mergeCell ref="D4:D6"/>
    <mergeCell ref="H4:H6"/>
    <mergeCell ref="N4:N6"/>
    <mergeCell ref="E4:E6"/>
    <mergeCell ref="I4:I6"/>
    <mergeCell ref="O4:O6"/>
    <mergeCell ref="P4:P6"/>
    <mergeCell ref="Q4:Q6"/>
    <mergeCell ref="R4:R6"/>
    <mergeCell ref="S4:S6"/>
    <mergeCell ref="T4:T6"/>
    <mergeCell ref="U4:U6"/>
    <mergeCell ref="V4:V6"/>
    <mergeCell ref="A13:A15"/>
    <mergeCell ref="A16:A18"/>
    <mergeCell ref="A4:B6"/>
    <mergeCell ref="C4:C6"/>
    <mergeCell ref="M4:M6"/>
    <mergeCell ref="G4:G6"/>
    <mergeCell ref="L4:L6"/>
    <mergeCell ref="J4:J6"/>
    <mergeCell ref="F4:F6"/>
    <mergeCell ref="K4:K6"/>
  </mergeCells>
  <phoneticPr fontId="7" type="noConversion"/>
  <hyperlinks>
    <hyperlink ref="A1" location="'Sumário Cap.XI'!A1" display="Voltar para Sumário" xr:uid="{57A42D17-3EAB-4523-A622-59A341F296C8}"/>
  </hyperlink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678E"/>
  </sheetPr>
  <dimension ref="A1:Q96"/>
  <sheetViews>
    <sheetView showGridLines="0" tabSelected="1" zoomScaleNormal="100" workbookViewId="0">
      <pane xSplit="2" ySplit="5" topLeftCell="C6" activePane="bottomRight" state="frozen"/>
      <selection pane="bottomRight" activeCell="C10" sqref="C10"/>
      <selection pane="bottomLeft" activeCell="A3" sqref="A3"/>
      <selection pane="topRight" activeCell="C1" sqref="C1"/>
    </sheetView>
  </sheetViews>
  <sheetFormatPr defaultColWidth="8.85546875" defaultRowHeight="12.6" customHeight="1"/>
  <cols>
    <col min="1" max="1" width="43.28515625" style="248" customWidth="1"/>
    <col min="2" max="2" width="22" style="248" customWidth="1"/>
    <col min="3" max="5" width="8.140625" style="248" bestFit="1" customWidth="1"/>
    <col min="6" max="6" width="3.28515625" style="248" customWidth="1"/>
    <col min="7" max="7" width="11.42578125" style="248" customWidth="1"/>
    <col min="8" max="8" width="6.7109375" style="248" bestFit="1" customWidth="1"/>
    <col min="9" max="9" width="3.28515625" style="248" customWidth="1"/>
    <col min="10" max="10" width="11.42578125" style="248" customWidth="1"/>
    <col min="11" max="11" width="6.5703125" style="248" bestFit="1" customWidth="1"/>
    <col min="12" max="12" width="3.28515625" style="248" customWidth="1"/>
    <col min="13" max="13" width="11.42578125" style="248" customWidth="1"/>
    <col min="14" max="14" width="6.7109375" style="248" bestFit="1" customWidth="1"/>
    <col min="15" max="15" width="9.140625" style="248" customWidth="1"/>
    <col min="16" max="16384" width="8.85546875" style="248"/>
  </cols>
  <sheetData>
    <row r="1" spans="1:17" ht="12.6" customHeight="1">
      <c r="A1" s="591" t="s">
        <v>22</v>
      </c>
    </row>
    <row r="2" spans="1:17" ht="12.6" customHeight="1">
      <c r="A2" s="295" t="s">
        <v>399</v>
      </c>
    </row>
    <row r="3" spans="1:17" ht="12.6" customHeight="1" thickBot="1">
      <c r="A3" s="349"/>
      <c r="B3" s="349"/>
      <c r="C3" s="349"/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</row>
    <row r="4" spans="1:17" ht="12.6" customHeight="1">
      <c r="A4" s="672"/>
      <c r="B4" s="672"/>
      <c r="C4" s="670">
        <v>2021</v>
      </c>
      <c r="D4" s="670">
        <v>2026</v>
      </c>
      <c r="E4" s="670">
        <v>2031</v>
      </c>
      <c r="F4" s="285"/>
      <c r="G4" s="674" t="s">
        <v>127</v>
      </c>
      <c r="H4" s="674"/>
      <c r="I4" s="287"/>
      <c r="J4" s="674" t="s">
        <v>128</v>
      </c>
      <c r="K4" s="674"/>
      <c r="L4" s="287"/>
      <c r="M4" s="674" t="s">
        <v>129</v>
      </c>
      <c r="N4" s="674"/>
    </row>
    <row r="5" spans="1:17" ht="12.6" customHeight="1" thickBot="1">
      <c r="A5" s="673"/>
      <c r="B5" s="673"/>
      <c r="C5" s="671"/>
      <c r="D5" s="671"/>
      <c r="E5" s="671"/>
      <c r="F5" s="286"/>
      <c r="G5" s="259" t="s">
        <v>175</v>
      </c>
      <c r="H5" s="260" t="s">
        <v>56</v>
      </c>
      <c r="I5" s="260"/>
      <c r="J5" s="259" t="s">
        <v>175</v>
      </c>
      <c r="K5" s="260" t="s">
        <v>56</v>
      </c>
      <c r="L5" s="260"/>
      <c r="M5" s="259" t="s">
        <v>175</v>
      </c>
      <c r="N5" s="260" t="s">
        <v>56</v>
      </c>
      <c r="O5" s="397"/>
    </row>
    <row r="6" spans="1:17" ht="12.6" customHeight="1" thickBot="1">
      <c r="A6" s="691" t="s">
        <v>176</v>
      </c>
      <c r="B6" s="691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261"/>
      <c r="N6" s="261"/>
      <c r="O6" s="397"/>
    </row>
    <row r="7" spans="1:17" ht="12.6" customHeight="1" thickBot="1">
      <c r="A7" s="692" t="s">
        <v>400</v>
      </c>
      <c r="B7" s="692"/>
      <c r="C7" s="263">
        <f>'T11-1'!M8</f>
        <v>4190</v>
      </c>
      <c r="D7" s="263">
        <f>'T11-1'!R8</f>
        <v>4811</v>
      </c>
      <c r="E7" s="263">
        <f>'T11-1'!W8</f>
        <v>5577</v>
      </c>
      <c r="F7" s="263"/>
      <c r="G7" s="264">
        <f t="shared" ref="G7:G12" si="0">D7-C7</f>
        <v>621</v>
      </c>
      <c r="H7" s="265">
        <f t="shared" ref="H7:H12" si="1">G7/C7</f>
        <v>0.14821002386634846</v>
      </c>
      <c r="I7" s="265"/>
      <c r="J7" s="263">
        <f t="shared" ref="J7:J12" si="2">E7-D7</f>
        <v>766</v>
      </c>
      <c r="K7" s="265">
        <f t="shared" ref="K7:K12" si="3">J7/D7</f>
        <v>0.15921845770110163</v>
      </c>
      <c r="L7" s="265"/>
      <c r="M7" s="263">
        <f t="shared" ref="M7:M12" si="4">E7-C7</f>
        <v>1387</v>
      </c>
      <c r="N7" s="265">
        <f t="shared" ref="N7:N12" si="5">M7/C7</f>
        <v>0.33102625298329358</v>
      </c>
      <c r="O7" s="397"/>
      <c r="Q7" s="423"/>
    </row>
    <row r="8" spans="1:17" ht="12.6" customHeight="1" thickBot="1">
      <c r="A8" s="693" t="s">
        <v>401</v>
      </c>
      <c r="B8" s="693"/>
      <c r="C8" s="264">
        <f>'T11-1'!M7</f>
        <v>214.07309000000001</v>
      </c>
      <c r="D8" s="264">
        <f>'T11-1'!R7</f>
        <v>220.930882</v>
      </c>
      <c r="E8" s="264">
        <f>'T11-1'!W7</f>
        <v>226.31610850000001</v>
      </c>
      <c r="F8" s="264"/>
      <c r="G8" s="264">
        <f t="shared" si="0"/>
        <v>6.8577919999999892</v>
      </c>
      <c r="H8" s="265">
        <f t="shared" si="1"/>
        <v>3.2034815772500828E-2</v>
      </c>
      <c r="I8" s="265"/>
      <c r="J8" s="264">
        <f t="shared" si="2"/>
        <v>5.3852265000000159</v>
      </c>
      <c r="K8" s="265">
        <f t="shared" si="3"/>
        <v>2.4375164084122998E-2</v>
      </c>
      <c r="L8" s="265"/>
      <c r="M8" s="264">
        <f t="shared" si="4"/>
        <v>12.243018500000005</v>
      </c>
      <c r="N8" s="265">
        <f t="shared" si="5"/>
        <v>5.7190833747483183E-2</v>
      </c>
      <c r="O8" s="397"/>
    </row>
    <row r="9" spans="1:17" ht="12.6" customHeight="1" thickBot="1">
      <c r="A9" s="693" t="s">
        <v>402</v>
      </c>
      <c r="B9" s="693"/>
      <c r="C9" s="264">
        <f t="shared" ref="C9:D9" si="6">C7/C8</f>
        <v>19.57275433357831</v>
      </c>
      <c r="D9" s="264">
        <f t="shared" si="6"/>
        <v>21.776041250765477</v>
      </c>
      <c r="E9" s="264">
        <f t="shared" ref="E9" si="7">E7/E8</f>
        <v>24.642523402173115</v>
      </c>
      <c r="F9" s="264"/>
      <c r="G9" s="264">
        <f t="shared" si="0"/>
        <v>2.2032869171871674</v>
      </c>
      <c r="H9" s="265">
        <f t="shared" si="1"/>
        <v>0.11256907840544894</v>
      </c>
      <c r="I9" s="265"/>
      <c r="J9" s="264">
        <f t="shared" si="2"/>
        <v>2.866482151407638</v>
      </c>
      <c r="K9" s="265">
        <f t="shared" si="3"/>
        <v>0.13163467677151258</v>
      </c>
      <c r="L9" s="265"/>
      <c r="M9" s="264">
        <f t="shared" si="4"/>
        <v>5.0697690685948054</v>
      </c>
      <c r="N9" s="265">
        <f t="shared" si="5"/>
        <v>0.25902174942732986</v>
      </c>
      <c r="O9" s="397"/>
    </row>
    <row r="10" spans="1:17" ht="12.6" customHeight="1" thickBot="1">
      <c r="A10" s="693" t="s">
        <v>180</v>
      </c>
      <c r="B10" s="693"/>
      <c r="C10" s="266">
        <f t="shared" ref="C10:D10" si="8">C28/C8</f>
        <v>1.3780984521792761</v>
      </c>
      <c r="D10" s="266">
        <f t="shared" si="8"/>
        <v>1.5211330941386658</v>
      </c>
      <c r="E10" s="266">
        <f t="shared" ref="E10" si="9">E28/E8</f>
        <v>1.6986210431043303</v>
      </c>
      <c r="F10" s="266"/>
      <c r="G10" s="264">
        <f t="shared" si="0"/>
        <v>0.14303464195938975</v>
      </c>
      <c r="H10" s="265">
        <f t="shared" si="1"/>
        <v>0.10379130876549483</v>
      </c>
      <c r="I10" s="265"/>
      <c r="J10" s="264">
        <f t="shared" si="2"/>
        <v>0.17748794896566444</v>
      </c>
      <c r="K10" s="265">
        <f t="shared" si="3"/>
        <v>0.11668140654461674</v>
      </c>
      <c r="L10" s="265"/>
      <c r="M10" s="264">
        <f t="shared" si="4"/>
        <v>0.3205225909250542</v>
      </c>
      <c r="N10" s="265">
        <f t="shared" si="5"/>
        <v>0.23258323120397612</v>
      </c>
      <c r="O10" s="397"/>
    </row>
    <row r="11" spans="1:17" ht="12.6" customHeight="1" thickBot="1">
      <c r="A11" s="693" t="s">
        <v>403</v>
      </c>
      <c r="B11" s="693"/>
      <c r="C11" s="264">
        <f t="shared" ref="C11:D11" si="10">C45/C7*1000</f>
        <v>160.90982687746535</v>
      </c>
      <c r="D11" s="264">
        <f t="shared" si="10"/>
        <v>167.22247913386724</v>
      </c>
      <c r="E11" s="264">
        <f t="shared" ref="E11" si="11">E45/E7*1000</f>
        <v>169.47252377009642</v>
      </c>
      <c r="F11" s="264"/>
      <c r="G11" s="264">
        <f t="shared" si="0"/>
        <v>6.3126522564018899</v>
      </c>
      <c r="H11" s="265">
        <f t="shared" si="1"/>
        <v>3.9230992779633315E-2</v>
      </c>
      <c r="I11" s="265"/>
      <c r="J11" s="264">
        <f t="shared" si="2"/>
        <v>2.2500446362291768</v>
      </c>
      <c r="K11" s="265">
        <f t="shared" si="3"/>
        <v>1.3455395757097586E-2</v>
      </c>
      <c r="L11" s="265"/>
      <c r="M11" s="264">
        <f t="shared" si="4"/>
        <v>8.5626968926310667</v>
      </c>
      <c r="N11" s="265">
        <f t="shared" si="5"/>
        <v>5.3214257070524705E-2</v>
      </c>
      <c r="O11" s="397"/>
    </row>
    <row r="12" spans="1:17" ht="12.6" customHeight="1" thickBot="1">
      <c r="A12" s="693" t="s">
        <v>404</v>
      </c>
      <c r="B12" s="693"/>
      <c r="C12" s="267">
        <f t="shared" ref="C12:D12" si="12">C28/C7</f>
        <v>7.0409020043492809E-2</v>
      </c>
      <c r="D12" s="267">
        <f t="shared" si="12"/>
        <v>6.9853518213977228E-2</v>
      </c>
      <c r="E12" s="267">
        <f t="shared" ref="E12" si="13">E28/E7</f>
        <v>6.8930483107689219E-2</v>
      </c>
      <c r="F12" s="267"/>
      <c r="G12" s="264">
        <f t="shared" si="0"/>
        <v>-5.5550182951558114E-4</v>
      </c>
      <c r="H12" s="265">
        <f t="shared" si="1"/>
        <v>-7.889640122422362E-3</v>
      </c>
      <c r="I12" s="265"/>
      <c r="J12" s="267">
        <f t="shared" si="2"/>
        <v>-9.2303510628800878E-4</v>
      </c>
      <c r="K12" s="265">
        <f t="shared" si="3"/>
        <v>-1.3213867102019716E-2</v>
      </c>
      <c r="L12" s="265"/>
      <c r="M12" s="267">
        <f t="shared" si="4"/>
        <v>-1.4785369358035899E-3</v>
      </c>
      <c r="N12" s="265">
        <f t="shared" si="5"/>
        <v>-2.0999254568381628E-2</v>
      </c>
      <c r="O12" s="397"/>
    </row>
    <row r="13" spans="1:17" ht="12.6" customHeight="1" thickBot="1">
      <c r="A13" s="693" t="s">
        <v>405</v>
      </c>
      <c r="B13" s="693"/>
      <c r="C13" s="268"/>
      <c r="D13" s="268"/>
      <c r="E13" s="268"/>
      <c r="F13" s="268"/>
      <c r="G13" s="669">
        <f>H14/H7</f>
        <v>0.92502240929072244</v>
      </c>
      <c r="H13" s="669"/>
      <c r="I13" s="288"/>
      <c r="J13" s="669">
        <f>K14/K7</f>
        <v>0.76000377465885438</v>
      </c>
      <c r="K13" s="669"/>
      <c r="L13" s="288"/>
      <c r="M13" s="669">
        <f>N14/N7</f>
        <v>0.82982523991952306</v>
      </c>
      <c r="N13" s="669"/>
      <c r="O13" s="397"/>
    </row>
    <row r="14" spans="1:17" ht="12.6" customHeight="1" thickBot="1">
      <c r="A14" s="691" t="s">
        <v>406</v>
      </c>
      <c r="B14" s="691"/>
      <c r="C14" s="269">
        <v>261.33138704143408</v>
      </c>
      <c r="D14" s="269">
        <v>297.1592912736927</v>
      </c>
      <c r="E14" s="269">
        <v>333.11753534164211</v>
      </c>
      <c r="F14" s="269"/>
      <c r="G14" s="270">
        <f t="shared" ref="G14:G45" si="14">D14-C14</f>
        <v>35.827904232258618</v>
      </c>
      <c r="H14" s="271">
        <f t="shared" ref="H14:H45" si="15">G14/C14</f>
        <v>0.13709759335788513</v>
      </c>
      <c r="I14" s="271"/>
      <c r="J14" s="270">
        <f t="shared" ref="J14:J45" si="16">E14-D14</f>
        <v>35.958244067949408</v>
      </c>
      <c r="K14" s="271">
        <f t="shared" ref="K14:K45" si="17">J14/D14</f>
        <v>0.12100662884819838</v>
      </c>
      <c r="L14" s="271"/>
      <c r="M14" s="270">
        <f t="shared" ref="M14:M45" si="18">E14-C14</f>
        <v>71.786148300208026</v>
      </c>
      <c r="N14" s="271">
        <f t="shared" ref="N14:N45" si="19">M14/C14</f>
        <v>0.27469393980152235</v>
      </c>
      <c r="O14" s="397"/>
      <c r="Q14" s="424"/>
    </row>
    <row r="15" spans="1:17" ht="12.6" customHeight="1" thickBot="1">
      <c r="A15" s="694" t="s">
        <v>407</v>
      </c>
      <c r="B15" s="694"/>
      <c r="C15" s="268">
        <v>55.938453260312286</v>
      </c>
      <c r="D15" s="268">
        <v>75.974057886450055</v>
      </c>
      <c r="E15" s="268">
        <v>88.581299036206616</v>
      </c>
      <c r="F15" s="268"/>
      <c r="G15" s="264">
        <f t="shared" si="14"/>
        <v>20.035604626137768</v>
      </c>
      <c r="H15" s="265">
        <f t="shared" si="15"/>
        <v>0.35817230292194741</v>
      </c>
      <c r="I15" s="265"/>
      <c r="J15" s="264">
        <f t="shared" si="16"/>
        <v>12.607241149756561</v>
      </c>
      <c r="K15" s="265">
        <f t="shared" si="17"/>
        <v>0.16594139500353131</v>
      </c>
      <c r="L15" s="265"/>
      <c r="M15" s="264">
        <f t="shared" si="18"/>
        <v>32.64284577589433</v>
      </c>
      <c r="N15" s="265">
        <f t="shared" si="19"/>
        <v>0.58354930952397399</v>
      </c>
      <c r="O15" s="397"/>
    </row>
    <row r="16" spans="1:17" ht="12.6" customHeight="1" thickBot="1">
      <c r="A16" s="694" t="s">
        <v>408</v>
      </c>
      <c r="B16" s="694"/>
      <c r="C16" s="268">
        <v>18.846404124848924</v>
      </c>
      <c r="D16" s="268">
        <v>20.400089817802222</v>
      </c>
      <c r="E16" s="268">
        <v>23.816597943980739</v>
      </c>
      <c r="F16" s="268"/>
      <c r="G16" s="264">
        <f t="shared" si="14"/>
        <v>1.5536856929532981</v>
      </c>
      <c r="H16" s="265">
        <f t="shared" si="15"/>
        <v>8.2439370537787021E-2</v>
      </c>
      <c r="I16" s="265"/>
      <c r="J16" s="264">
        <f t="shared" si="16"/>
        <v>3.4165081261785168</v>
      </c>
      <c r="K16" s="265">
        <f t="shared" si="17"/>
        <v>0.16747515117296627</v>
      </c>
      <c r="L16" s="265"/>
      <c r="M16" s="264">
        <f t="shared" si="18"/>
        <v>4.9701938191318149</v>
      </c>
      <c r="N16" s="265">
        <f t="shared" si="19"/>
        <v>0.26372106775417331</v>
      </c>
      <c r="O16" s="397"/>
    </row>
    <row r="17" spans="1:15" ht="12.6" customHeight="1" thickBot="1">
      <c r="A17" s="694" t="s">
        <v>409</v>
      </c>
      <c r="B17" s="694"/>
      <c r="C17" s="268">
        <v>63.650266417060699</v>
      </c>
      <c r="D17" s="268">
        <v>64.581823642897874</v>
      </c>
      <c r="E17" s="268">
        <v>65.075156261443908</v>
      </c>
      <c r="F17" s="268"/>
      <c r="G17" s="264">
        <f t="shared" si="14"/>
        <v>0.93155722583717449</v>
      </c>
      <c r="H17" s="265">
        <f t="shared" si="15"/>
        <v>1.4635558942255765E-2</v>
      </c>
      <c r="I17" s="265"/>
      <c r="J17" s="264">
        <f t="shared" si="16"/>
        <v>0.4933326185460345</v>
      </c>
      <c r="K17" s="265">
        <f t="shared" si="17"/>
        <v>7.6388771750066052E-3</v>
      </c>
      <c r="L17" s="265"/>
      <c r="M17" s="264">
        <f t="shared" si="18"/>
        <v>1.424889844383209</v>
      </c>
      <c r="N17" s="265">
        <f t="shared" si="19"/>
        <v>2.2386235354409832E-2</v>
      </c>
      <c r="O17" s="397"/>
    </row>
    <row r="18" spans="1:15" ht="12.6" customHeight="1" thickBot="1">
      <c r="A18" s="694" t="s">
        <v>410</v>
      </c>
      <c r="B18" s="694"/>
      <c r="C18" s="268">
        <v>137.70706621065727</v>
      </c>
      <c r="D18" s="268">
        <v>157.17465563232329</v>
      </c>
      <c r="E18" s="268">
        <v>170.17682857728045</v>
      </c>
      <c r="F18" s="268"/>
      <c r="G18" s="264">
        <f t="shared" si="14"/>
        <v>19.46758942166602</v>
      </c>
      <c r="H18" s="265">
        <f t="shared" si="15"/>
        <v>0.14136957497798616</v>
      </c>
      <c r="I18" s="265"/>
      <c r="J18" s="264">
        <f t="shared" si="16"/>
        <v>13.002172944957152</v>
      </c>
      <c r="K18" s="265">
        <f t="shared" si="17"/>
        <v>8.2724360951507175E-2</v>
      </c>
      <c r="L18" s="265"/>
      <c r="M18" s="264">
        <f t="shared" si="18"/>
        <v>32.469762366623172</v>
      </c>
      <c r="N18" s="265">
        <f t="shared" si="19"/>
        <v>0.23578864367753344</v>
      </c>
      <c r="O18" s="397"/>
    </row>
    <row r="19" spans="1:15" ht="12.6" customHeight="1" thickBot="1">
      <c r="A19" s="694" t="s">
        <v>191</v>
      </c>
      <c r="B19" s="694"/>
      <c r="C19" s="268">
        <v>562.6108745776919</v>
      </c>
      <c r="D19" s="268">
        <v>669.1957727487727</v>
      </c>
      <c r="E19" s="268">
        <v>791.85751224796797</v>
      </c>
      <c r="F19" s="268"/>
      <c r="G19" s="264">
        <f t="shared" si="14"/>
        <v>106.58489817108079</v>
      </c>
      <c r="H19" s="265">
        <f t="shared" si="15"/>
        <v>0.18944692146429939</v>
      </c>
      <c r="I19" s="265"/>
      <c r="J19" s="264">
        <f t="shared" si="16"/>
        <v>122.66173949919528</v>
      </c>
      <c r="K19" s="265">
        <f t="shared" si="17"/>
        <v>0.18329724199445077</v>
      </c>
      <c r="L19" s="265"/>
      <c r="M19" s="264">
        <f t="shared" si="18"/>
        <v>229.24663767027607</v>
      </c>
      <c r="N19" s="265">
        <f t="shared" si="19"/>
        <v>0.40746926166749559</v>
      </c>
      <c r="O19" s="397"/>
    </row>
    <row r="20" spans="1:15" ht="12.6" customHeight="1" thickBot="1">
      <c r="A20" s="694" t="s">
        <v>411</v>
      </c>
      <c r="B20" s="694"/>
      <c r="C20" s="268">
        <v>29.361292228215518</v>
      </c>
      <c r="D20" s="268">
        <v>37.755666927184265</v>
      </c>
      <c r="E20" s="268">
        <v>44.206843411342753</v>
      </c>
      <c r="F20" s="268"/>
      <c r="G20" s="264">
        <f t="shared" si="14"/>
        <v>8.3943746989687469</v>
      </c>
      <c r="H20" s="265">
        <f t="shared" si="15"/>
        <v>0.28589936143552797</v>
      </c>
      <c r="I20" s="265"/>
      <c r="J20" s="264">
        <f t="shared" si="16"/>
        <v>6.4511764841584878</v>
      </c>
      <c r="K20" s="265">
        <f t="shared" si="17"/>
        <v>0.17086644229064352</v>
      </c>
      <c r="L20" s="265"/>
      <c r="M20" s="264">
        <f t="shared" si="18"/>
        <v>14.845551183127235</v>
      </c>
      <c r="N20" s="265">
        <f t="shared" si="19"/>
        <v>0.5056164104678269</v>
      </c>
      <c r="O20" s="397"/>
    </row>
    <row r="21" spans="1:15" ht="12.6" customHeight="1" thickBot="1">
      <c r="A21" s="694" t="s">
        <v>412</v>
      </c>
      <c r="B21" s="694"/>
      <c r="C21" s="268">
        <v>6.4905094628892428</v>
      </c>
      <c r="D21" s="268">
        <v>9.9866780686219219</v>
      </c>
      <c r="E21" s="268">
        <v>11.207628253806954</v>
      </c>
      <c r="F21" s="268"/>
      <c r="G21" s="264">
        <f t="shared" si="14"/>
        <v>3.4961686057326791</v>
      </c>
      <c r="H21" s="265">
        <f t="shared" si="15"/>
        <v>0.53865857922597704</v>
      </c>
      <c r="I21" s="265"/>
      <c r="J21" s="264">
        <f t="shared" si="16"/>
        <v>1.220950185185032</v>
      </c>
      <c r="K21" s="265">
        <f t="shared" si="17"/>
        <v>0.12225788964012463</v>
      </c>
      <c r="L21" s="265"/>
      <c r="M21" s="264">
        <f t="shared" si="18"/>
        <v>4.717118790917711</v>
      </c>
      <c r="N21" s="265">
        <f t="shared" si="19"/>
        <v>0.72677172999881756</v>
      </c>
      <c r="O21" s="397"/>
    </row>
    <row r="22" spans="1:15" ht="12.6" customHeight="1" thickBot="1">
      <c r="A22" s="694" t="s">
        <v>413</v>
      </c>
      <c r="B22" s="694"/>
      <c r="C22" s="268">
        <f t="shared" ref="C22:D22" si="20">SUM(C23:C27)</f>
        <v>101.13590962685326</v>
      </c>
      <c r="D22" s="268">
        <f t="shared" si="20"/>
        <v>105.48217768937324</v>
      </c>
      <c r="E22" s="268">
        <f t="shared" ref="E22" si="21">SUM(E23:E27)</f>
        <v>117.69857823735305</v>
      </c>
      <c r="F22" s="268"/>
      <c r="G22" s="264">
        <f t="shared" si="14"/>
        <v>4.3462680625199823</v>
      </c>
      <c r="H22" s="265">
        <f t="shared" si="15"/>
        <v>4.2974528815292089E-2</v>
      </c>
      <c r="I22" s="265"/>
      <c r="J22" s="264">
        <f t="shared" si="16"/>
        <v>12.216400547979802</v>
      </c>
      <c r="K22" s="265">
        <f t="shared" si="17"/>
        <v>0.1158148306717272</v>
      </c>
      <c r="L22" s="265"/>
      <c r="M22" s="264">
        <f t="shared" si="18"/>
        <v>16.562668610499784</v>
      </c>
      <c r="N22" s="265">
        <f t="shared" si="19"/>
        <v>0.16376644726495959</v>
      </c>
      <c r="O22" s="397"/>
    </row>
    <row r="23" spans="1:15" ht="12.6" customHeight="1" thickBot="1">
      <c r="A23" s="667" t="s">
        <v>414</v>
      </c>
      <c r="B23" s="667"/>
      <c r="C23" s="268">
        <v>53.242365504147976</v>
      </c>
      <c r="D23" s="268">
        <v>58.663187359361828</v>
      </c>
      <c r="E23" s="268">
        <v>65.887075457060391</v>
      </c>
      <c r="F23" s="268"/>
      <c r="G23" s="264">
        <f t="shared" si="14"/>
        <v>5.4208218552138518</v>
      </c>
      <c r="H23" s="265">
        <f t="shared" si="15"/>
        <v>0.101814068625323</v>
      </c>
      <c r="I23" s="265"/>
      <c r="J23" s="264">
        <f t="shared" si="16"/>
        <v>7.2238880976985627</v>
      </c>
      <c r="K23" s="265">
        <f t="shared" si="17"/>
        <v>0.12314175930206647</v>
      </c>
      <c r="L23" s="265"/>
      <c r="M23" s="264">
        <f t="shared" si="18"/>
        <v>12.644709952912415</v>
      </c>
      <c r="N23" s="265">
        <f t="shared" si="19"/>
        <v>0.23749339145961307</v>
      </c>
      <c r="O23" s="397"/>
    </row>
    <row r="24" spans="1:15" ht="12.6" customHeight="1" thickBot="1">
      <c r="A24" s="667" t="s">
        <v>415</v>
      </c>
      <c r="B24" s="667"/>
      <c r="C24" s="268">
        <v>2.4030760195853929</v>
      </c>
      <c r="D24" s="268">
        <v>2.2742047401541177</v>
      </c>
      <c r="E24" s="268">
        <v>2.5097273918839225</v>
      </c>
      <c r="F24" s="268"/>
      <c r="G24" s="264">
        <f t="shared" si="14"/>
        <v>-0.12887127943127519</v>
      </c>
      <c r="H24" s="265">
        <f t="shared" si="15"/>
        <v>-5.3627633242126722E-2</v>
      </c>
      <c r="I24" s="265"/>
      <c r="J24" s="264">
        <f t="shared" si="16"/>
        <v>0.2355226517298048</v>
      </c>
      <c r="K24" s="265">
        <f t="shared" si="17"/>
        <v>0.10356264217171755</v>
      </c>
      <c r="L24" s="265"/>
      <c r="M24" s="264">
        <f t="shared" si="18"/>
        <v>0.10665137229852961</v>
      </c>
      <c r="N24" s="265">
        <f t="shared" si="19"/>
        <v>4.4381189537620359E-2</v>
      </c>
      <c r="O24" s="397"/>
    </row>
    <row r="25" spans="1:15" ht="12.6" customHeight="1" thickBot="1">
      <c r="A25" s="668" t="s">
        <v>416</v>
      </c>
      <c r="B25" s="668"/>
      <c r="C25" s="268">
        <v>28.917468616945456</v>
      </c>
      <c r="D25" s="268">
        <v>24.76130284522727</v>
      </c>
      <c r="E25" s="268">
        <v>27.354704873109092</v>
      </c>
      <c r="F25" s="268"/>
      <c r="G25" s="264">
        <f t="shared" si="14"/>
        <v>-4.1561657717181859</v>
      </c>
      <c r="H25" s="265">
        <f t="shared" si="15"/>
        <v>-0.14372508972942047</v>
      </c>
      <c r="I25" s="265"/>
      <c r="J25" s="264">
        <f t="shared" si="16"/>
        <v>2.5934020278818224</v>
      </c>
      <c r="K25" s="265">
        <f t="shared" si="17"/>
        <v>0.10473608937672274</v>
      </c>
      <c r="L25" s="265"/>
      <c r="M25" s="264">
        <f t="shared" si="18"/>
        <v>-1.5627637438363635</v>
      </c>
      <c r="N25" s="265">
        <f t="shared" si="19"/>
        <v>-5.4042204196275805E-2</v>
      </c>
      <c r="O25" s="397"/>
    </row>
    <row r="26" spans="1:15" ht="12.6" customHeight="1" thickBot="1">
      <c r="A26" s="667" t="s">
        <v>417</v>
      </c>
      <c r="B26" s="667"/>
      <c r="C26" s="268">
        <v>14.095310866479055</v>
      </c>
      <c r="D26" s="268">
        <v>14.91626541686651</v>
      </c>
      <c r="E26" s="268">
        <v>15.800083147701134</v>
      </c>
      <c r="F26" s="268"/>
      <c r="G26" s="264">
        <f t="shared" si="14"/>
        <v>0.82095455038745513</v>
      </c>
      <c r="H26" s="265">
        <f t="shared" si="15"/>
        <v>5.8243096456979802E-2</v>
      </c>
      <c r="I26" s="265"/>
      <c r="J26" s="264">
        <f t="shared" si="16"/>
        <v>0.88381773083462356</v>
      </c>
      <c r="K26" s="265">
        <f t="shared" si="17"/>
        <v>5.9251944513889515E-2</v>
      </c>
      <c r="L26" s="265"/>
      <c r="M26" s="264">
        <f t="shared" si="18"/>
        <v>1.7047722812220787</v>
      </c>
      <c r="N26" s="265">
        <f t="shared" si="19"/>
        <v>0.1209460576904554</v>
      </c>
      <c r="O26" s="397"/>
    </row>
    <row r="27" spans="1:15" ht="12.6" customHeight="1" thickBot="1">
      <c r="A27" s="667" t="s">
        <v>418</v>
      </c>
      <c r="B27" s="667"/>
      <c r="C27" s="268">
        <v>2.4776886196953809</v>
      </c>
      <c r="D27" s="268">
        <v>4.8672173277635231</v>
      </c>
      <c r="E27" s="268">
        <v>6.1469873675984932</v>
      </c>
      <c r="F27" s="268"/>
      <c r="G27" s="264">
        <f t="shared" si="14"/>
        <v>2.3895287080681422</v>
      </c>
      <c r="H27" s="265">
        <f t="shared" si="15"/>
        <v>0.96441848627529414</v>
      </c>
      <c r="I27" s="265"/>
      <c r="J27" s="264">
        <f t="shared" si="16"/>
        <v>1.2797700398349701</v>
      </c>
      <c r="K27" s="265">
        <f t="shared" si="17"/>
        <v>0.26293669537518305</v>
      </c>
      <c r="L27" s="265"/>
      <c r="M27" s="264">
        <f t="shared" si="18"/>
        <v>3.6692987479031123</v>
      </c>
      <c r="N27" s="265">
        <f t="shared" si="19"/>
        <v>1.4809361913904395</v>
      </c>
      <c r="O27" s="397"/>
    </row>
    <row r="28" spans="1:15" ht="12.6" customHeight="1" thickBot="1">
      <c r="A28" s="691" t="s">
        <v>419</v>
      </c>
      <c r="B28" s="691"/>
      <c r="C28" s="269">
        <v>295.01379398223486</v>
      </c>
      <c r="D28" s="269">
        <v>336.06527612744446</v>
      </c>
      <c r="E28" s="269">
        <v>384.42530429158279</v>
      </c>
      <c r="F28" s="269"/>
      <c r="G28" s="270">
        <f t="shared" si="14"/>
        <v>41.051482145209604</v>
      </c>
      <c r="H28" s="271">
        <f t="shared" si="15"/>
        <v>0.13915105999308508</v>
      </c>
      <c r="I28" s="271"/>
      <c r="J28" s="270">
        <f t="shared" si="16"/>
        <v>48.360028164138328</v>
      </c>
      <c r="K28" s="271">
        <f t="shared" si="17"/>
        <v>0.14390069905883099</v>
      </c>
      <c r="L28" s="271"/>
      <c r="M28" s="270">
        <f t="shared" si="18"/>
        <v>89.411510309347932</v>
      </c>
      <c r="N28" s="271">
        <f t="shared" si="19"/>
        <v>0.30307569385969835</v>
      </c>
      <c r="O28" s="397"/>
    </row>
    <row r="29" spans="1:15" ht="12.6" customHeight="1">
      <c r="A29" s="665" t="s">
        <v>201</v>
      </c>
      <c r="B29" s="279" t="s">
        <v>202</v>
      </c>
      <c r="C29" s="272">
        <v>2916.8256219999998</v>
      </c>
      <c r="D29" s="272">
        <v>4259.0051350000003</v>
      </c>
      <c r="E29" s="272">
        <v>5168.9668339999998</v>
      </c>
      <c r="F29" s="272"/>
      <c r="G29" s="272">
        <f t="shared" si="14"/>
        <v>1342.1795130000005</v>
      </c>
      <c r="H29" s="273">
        <f t="shared" si="15"/>
        <v>0.46015075528570648</v>
      </c>
      <c r="I29" s="273"/>
      <c r="J29" s="272">
        <f t="shared" si="16"/>
        <v>909.9616989999995</v>
      </c>
      <c r="K29" s="273">
        <f t="shared" si="17"/>
        <v>0.21365592906240988</v>
      </c>
      <c r="L29" s="273"/>
      <c r="M29" s="272">
        <f t="shared" si="18"/>
        <v>2252.141212</v>
      </c>
      <c r="N29" s="273">
        <f t="shared" si="19"/>
        <v>0.77212062147745364</v>
      </c>
      <c r="O29" s="397"/>
    </row>
    <row r="30" spans="1:15" ht="12.6" customHeight="1" thickBot="1">
      <c r="A30" s="666"/>
      <c r="B30" s="274" t="s">
        <v>203</v>
      </c>
      <c r="C30" s="263">
        <v>-1120.4438463150684</v>
      </c>
      <c r="D30" s="263">
        <v>-2320.1064349999997</v>
      </c>
      <c r="E30" s="263">
        <v>-3238.2438339999999</v>
      </c>
      <c r="F30" s="263"/>
      <c r="G30" s="263">
        <f t="shared" si="14"/>
        <v>-1199.6625886849313</v>
      </c>
      <c r="H30" s="265">
        <f t="shared" si="15"/>
        <v>1.0707030009851888</v>
      </c>
      <c r="I30" s="265"/>
      <c r="J30" s="263">
        <f t="shared" si="16"/>
        <v>-918.13739900000019</v>
      </c>
      <c r="K30" s="265">
        <f t="shared" si="17"/>
        <v>0.39573072387948455</v>
      </c>
      <c r="L30" s="265"/>
      <c r="M30" s="263">
        <f t="shared" si="18"/>
        <v>-2117.7999876849317</v>
      </c>
      <c r="N30" s="265">
        <f t="shared" si="19"/>
        <v>1.8901437985044787</v>
      </c>
      <c r="O30" s="397"/>
    </row>
    <row r="31" spans="1:15" ht="12.6" customHeight="1">
      <c r="A31" s="665" t="s">
        <v>420</v>
      </c>
      <c r="B31" s="279" t="s">
        <v>421</v>
      </c>
      <c r="C31" s="275">
        <v>124.79025566040508</v>
      </c>
      <c r="D31" s="275">
        <v>178.74596954912693</v>
      </c>
      <c r="E31" s="275">
        <v>245.79475392448924</v>
      </c>
      <c r="F31" s="275"/>
      <c r="G31" s="275">
        <f t="shared" si="14"/>
        <v>53.955713888721846</v>
      </c>
      <c r="H31" s="273">
        <f t="shared" si="15"/>
        <v>0.4323712104216928</v>
      </c>
      <c r="I31" s="273"/>
      <c r="J31" s="275">
        <f t="shared" si="16"/>
        <v>67.048784375362317</v>
      </c>
      <c r="K31" s="273">
        <f t="shared" si="17"/>
        <v>0.37510655230150231</v>
      </c>
      <c r="L31" s="273"/>
      <c r="M31" s="275">
        <f t="shared" si="18"/>
        <v>121.00449826408416</v>
      </c>
      <c r="N31" s="273">
        <f t="shared" si="19"/>
        <v>0.96966303677890364</v>
      </c>
      <c r="O31" s="397"/>
    </row>
    <row r="32" spans="1:15" ht="12.6" customHeight="1" thickBot="1">
      <c r="A32" s="666"/>
      <c r="B32" s="274" t="s">
        <v>206</v>
      </c>
      <c r="C32" s="264">
        <v>27.621004688007996</v>
      </c>
      <c r="D32" s="264">
        <v>19.780375874369195</v>
      </c>
      <c r="E32" s="264">
        <v>14.769676389760519</v>
      </c>
      <c r="F32" s="264"/>
      <c r="G32" s="264">
        <f t="shared" si="14"/>
        <v>-7.8406288136388014</v>
      </c>
      <c r="H32" s="265">
        <f t="shared" si="15"/>
        <v>-0.28386472187389</v>
      </c>
      <c r="I32" s="265"/>
      <c r="J32" s="264">
        <f t="shared" si="16"/>
        <v>-5.0106994846086756</v>
      </c>
      <c r="K32" s="265">
        <f t="shared" si="17"/>
        <v>-0.25331669713624533</v>
      </c>
      <c r="L32" s="265"/>
      <c r="M32" s="264">
        <f t="shared" si="18"/>
        <v>-12.851328298247477</v>
      </c>
      <c r="N32" s="265">
        <f t="shared" si="19"/>
        <v>-0.46527374523154263</v>
      </c>
      <c r="O32" s="397"/>
    </row>
    <row r="33" spans="1:16" ht="12.6" customHeight="1">
      <c r="A33" s="665" t="s">
        <v>422</v>
      </c>
      <c r="B33" s="279" t="s">
        <v>202</v>
      </c>
      <c r="C33" s="275">
        <v>42.769970000000001</v>
      </c>
      <c r="D33" s="275">
        <v>45.341760000000001</v>
      </c>
      <c r="E33" s="275">
        <v>43.909134999999999</v>
      </c>
      <c r="F33" s="275"/>
      <c r="G33" s="275">
        <f t="shared" si="14"/>
        <v>2.57179</v>
      </c>
      <c r="H33" s="273">
        <f t="shared" si="15"/>
        <v>6.0130741265425253E-2</v>
      </c>
      <c r="I33" s="273"/>
      <c r="J33" s="275">
        <f t="shared" si="16"/>
        <v>-1.4326250000000016</v>
      </c>
      <c r="K33" s="273">
        <f t="shared" si="17"/>
        <v>-3.1596148892323581E-2</v>
      </c>
      <c r="L33" s="273"/>
      <c r="M33" s="275">
        <f t="shared" si="18"/>
        <v>1.1391649999999984</v>
      </c>
      <c r="N33" s="273">
        <f t="shared" si="19"/>
        <v>2.6634692519073508E-2</v>
      </c>
      <c r="O33" s="397"/>
    </row>
    <row r="34" spans="1:16" ht="12.6" customHeight="1" thickBot="1">
      <c r="A34" s="666"/>
      <c r="B34" s="274" t="s">
        <v>206</v>
      </c>
      <c r="C34" s="264">
        <v>11.768769617735645</v>
      </c>
      <c r="D34" s="264">
        <v>15.025494924081599</v>
      </c>
      <c r="E34" s="264">
        <v>24.418860633340927</v>
      </c>
      <c r="F34" s="264"/>
      <c r="G34" s="264">
        <f t="shared" si="14"/>
        <v>3.2567253063459543</v>
      </c>
      <c r="H34" s="265">
        <f t="shared" si="15"/>
        <v>0.27672606501176122</v>
      </c>
      <c r="I34" s="265"/>
      <c r="J34" s="264">
        <f t="shared" si="16"/>
        <v>9.3933657092593279</v>
      </c>
      <c r="K34" s="265">
        <f t="shared" si="17"/>
        <v>0.62516181707961127</v>
      </c>
      <c r="L34" s="265"/>
      <c r="M34" s="264">
        <f t="shared" si="18"/>
        <v>12.650091015605282</v>
      </c>
      <c r="N34" s="265">
        <f t="shared" si="19"/>
        <v>1.0748864517274157</v>
      </c>
      <c r="O34" s="397"/>
    </row>
    <row r="35" spans="1:16" ht="12.6" customHeight="1">
      <c r="A35" s="665" t="s">
        <v>423</v>
      </c>
      <c r="B35" s="279" t="s">
        <v>202</v>
      </c>
      <c r="C35" s="275">
        <v>15.175192406912416</v>
      </c>
      <c r="D35" s="275">
        <v>13.013776492482078</v>
      </c>
      <c r="E35" s="275">
        <v>12.138042414193796</v>
      </c>
      <c r="F35" s="275"/>
      <c r="G35" s="275">
        <f t="shared" si="14"/>
        <v>-2.1614159144303375</v>
      </c>
      <c r="H35" s="273">
        <f t="shared" si="15"/>
        <v>-0.14243087378884212</v>
      </c>
      <c r="I35" s="273"/>
      <c r="J35" s="275">
        <f t="shared" si="16"/>
        <v>-0.87573407828828209</v>
      </c>
      <c r="K35" s="273">
        <f t="shared" si="17"/>
        <v>-6.7292847606087627E-2</v>
      </c>
      <c r="L35" s="273"/>
      <c r="M35" s="275">
        <f t="shared" si="18"/>
        <v>-3.0371499927186196</v>
      </c>
      <c r="N35" s="273">
        <f t="shared" si="19"/>
        <v>-0.2001391423106553</v>
      </c>
      <c r="O35" s="397"/>
    </row>
    <row r="36" spans="1:16" ht="12.6" customHeight="1" thickBot="1">
      <c r="A36" s="666"/>
      <c r="B36" s="274" t="s">
        <v>203</v>
      </c>
      <c r="C36" s="264">
        <v>-12.461589999999999</v>
      </c>
      <c r="D36" s="264">
        <v>-10.48188713915237</v>
      </c>
      <c r="E36" s="264">
        <v>-9.323671658952744</v>
      </c>
      <c r="F36" s="264"/>
      <c r="G36" s="264">
        <f t="shared" si="14"/>
        <v>1.9797028608476293</v>
      </c>
      <c r="H36" s="265">
        <f t="shared" si="15"/>
        <v>-0.15886438735728181</v>
      </c>
      <c r="I36" s="265"/>
      <c r="J36" s="264">
        <f t="shared" si="16"/>
        <v>1.1582154801996261</v>
      </c>
      <c r="K36" s="265">
        <f t="shared" si="17"/>
        <v>-0.11049684706806398</v>
      </c>
      <c r="L36" s="265"/>
      <c r="M36" s="264">
        <f t="shared" si="18"/>
        <v>3.1379183410472553</v>
      </c>
      <c r="N36" s="265">
        <f t="shared" si="19"/>
        <v>-0.25180722051096655</v>
      </c>
      <c r="O36" s="397"/>
    </row>
    <row r="37" spans="1:16" ht="12.6" customHeight="1">
      <c r="A37" s="665" t="s">
        <v>424</v>
      </c>
      <c r="B37" s="279" t="s">
        <v>202</v>
      </c>
      <c r="C37" s="275">
        <v>26.331265651462264</v>
      </c>
      <c r="D37" s="275">
        <v>26.524185000000003</v>
      </c>
      <c r="E37" s="275">
        <v>26.809979999999999</v>
      </c>
      <c r="F37" s="275"/>
      <c r="G37" s="275">
        <f t="shared" si="14"/>
        <v>0.19291934853773895</v>
      </c>
      <c r="H37" s="273">
        <f t="shared" si="15"/>
        <v>7.3266264938170751E-3</v>
      </c>
      <c r="I37" s="273"/>
      <c r="J37" s="275">
        <f t="shared" si="16"/>
        <v>0.28579499999999669</v>
      </c>
      <c r="K37" s="273">
        <f t="shared" si="17"/>
        <v>1.0774883375304337E-2</v>
      </c>
      <c r="L37" s="273"/>
      <c r="M37" s="275">
        <f t="shared" si="18"/>
        <v>0.47871434853773565</v>
      </c>
      <c r="N37" s="273">
        <f t="shared" si="19"/>
        <v>1.8180453415126707E-2</v>
      </c>
      <c r="O37" s="257"/>
      <c r="P37" s="258"/>
    </row>
    <row r="38" spans="1:16" ht="12.6" customHeight="1" thickBot="1">
      <c r="A38" s="666"/>
      <c r="B38" s="274" t="s">
        <v>206</v>
      </c>
      <c r="C38" s="264">
        <v>1.1962450000000002</v>
      </c>
      <c r="D38" s="264">
        <v>-3.0226149999999996</v>
      </c>
      <c r="E38" s="264">
        <v>-0.71479499999999996</v>
      </c>
      <c r="F38" s="264"/>
      <c r="G38" s="264">
        <f t="shared" si="14"/>
        <v>-4.2188599999999994</v>
      </c>
      <c r="H38" s="265">
        <f t="shared" si="15"/>
        <v>-3.5267524629152045</v>
      </c>
      <c r="I38" s="265"/>
      <c r="J38" s="264">
        <f t="shared" si="16"/>
        <v>2.3078199999999995</v>
      </c>
      <c r="K38" s="265">
        <f t="shared" si="17"/>
        <v>-0.76351768253647911</v>
      </c>
      <c r="L38" s="265"/>
      <c r="M38" s="264">
        <f t="shared" si="18"/>
        <v>-1.9110400000000003</v>
      </c>
      <c r="N38" s="265">
        <f t="shared" si="19"/>
        <v>-1.5975322780868466</v>
      </c>
      <c r="O38" s="397"/>
    </row>
    <row r="39" spans="1:16" ht="12.6" customHeight="1">
      <c r="A39" s="665" t="s">
        <v>425</v>
      </c>
      <c r="B39" s="279" t="s">
        <v>202</v>
      </c>
      <c r="C39" s="275">
        <v>9.7155699999999996</v>
      </c>
      <c r="D39" s="275">
        <v>13.193290000000001</v>
      </c>
      <c r="E39" s="275">
        <v>16.957900000000002</v>
      </c>
      <c r="F39" s="275"/>
      <c r="G39" s="275">
        <f t="shared" si="14"/>
        <v>3.4777200000000015</v>
      </c>
      <c r="H39" s="273">
        <f t="shared" si="15"/>
        <v>0.35795326470809241</v>
      </c>
      <c r="I39" s="273"/>
      <c r="J39" s="275">
        <f t="shared" si="16"/>
        <v>3.7646100000000011</v>
      </c>
      <c r="K39" s="273">
        <f t="shared" si="17"/>
        <v>0.28534277651745704</v>
      </c>
      <c r="L39" s="273"/>
      <c r="M39" s="275">
        <f t="shared" si="18"/>
        <v>7.2423300000000026</v>
      </c>
      <c r="N39" s="273">
        <f t="shared" si="19"/>
        <v>0.74543541964084481</v>
      </c>
      <c r="O39" s="397"/>
    </row>
    <row r="40" spans="1:16" ht="12.6" customHeight="1" thickBot="1">
      <c r="A40" s="666"/>
      <c r="B40" s="274" t="s">
        <v>211</v>
      </c>
      <c r="C40" s="264">
        <v>4.3795900000000003</v>
      </c>
      <c r="D40" s="264">
        <v>1.7229000000000001</v>
      </c>
      <c r="E40" s="264">
        <v>-1.1582950000000001</v>
      </c>
      <c r="F40" s="264"/>
      <c r="G40" s="264">
        <f t="shared" si="14"/>
        <v>-2.6566900000000002</v>
      </c>
      <c r="H40" s="265">
        <f t="shared" si="15"/>
        <v>-0.60660701115857873</v>
      </c>
      <c r="I40" s="265"/>
      <c r="J40" s="264">
        <f t="shared" si="16"/>
        <v>-2.881195</v>
      </c>
      <c r="K40" s="265">
        <f t="shared" si="17"/>
        <v>-1.6722938069533924</v>
      </c>
      <c r="L40" s="265"/>
      <c r="M40" s="264">
        <f t="shared" si="18"/>
        <v>-5.5378850000000002</v>
      </c>
      <c r="N40" s="265">
        <f t="shared" si="19"/>
        <v>-1.2644756700969726</v>
      </c>
      <c r="O40" s="397"/>
    </row>
    <row r="41" spans="1:16" ht="12.6" customHeight="1">
      <c r="A41" s="665" t="s">
        <v>426</v>
      </c>
      <c r="B41" s="279" t="s">
        <v>202</v>
      </c>
      <c r="C41" s="275">
        <v>4.01938</v>
      </c>
      <c r="D41" s="275">
        <v>6.2203299999999997</v>
      </c>
      <c r="E41" s="275">
        <v>6.5886149999999999</v>
      </c>
      <c r="F41" s="275"/>
      <c r="G41" s="275">
        <f t="shared" si="14"/>
        <v>2.2009499999999997</v>
      </c>
      <c r="H41" s="273">
        <f t="shared" si="15"/>
        <v>0.54758445332364691</v>
      </c>
      <c r="I41" s="273"/>
      <c r="J41" s="275">
        <f t="shared" si="16"/>
        <v>0.3682850000000002</v>
      </c>
      <c r="K41" s="273">
        <f t="shared" si="17"/>
        <v>5.9206665884285914E-2</v>
      </c>
      <c r="L41" s="273"/>
      <c r="M41" s="275">
        <f t="shared" si="18"/>
        <v>2.5692349999999999</v>
      </c>
      <c r="N41" s="273">
        <f t="shared" si="19"/>
        <v>0.63921176897929533</v>
      </c>
      <c r="O41" s="397"/>
    </row>
    <row r="42" spans="1:16" ht="12.6" customHeight="1" thickBot="1">
      <c r="A42" s="666"/>
      <c r="B42" s="274" t="s">
        <v>203</v>
      </c>
      <c r="C42" s="264">
        <v>-1.5412280077726357</v>
      </c>
      <c r="D42" s="264">
        <v>-1.3528478473522669</v>
      </c>
      <c r="E42" s="264">
        <v>-0.44162652067785757</v>
      </c>
      <c r="F42" s="264"/>
      <c r="G42" s="264">
        <f t="shared" si="14"/>
        <v>0.18838016042036876</v>
      </c>
      <c r="H42" s="265">
        <f t="shared" si="15"/>
        <v>-0.12222731449878951</v>
      </c>
      <c r="I42" s="265"/>
      <c r="J42" s="264">
        <f t="shared" si="16"/>
        <v>0.91122132667440936</v>
      </c>
      <c r="K42" s="265">
        <f t="shared" si="17"/>
        <v>-0.67355787900155284</v>
      </c>
      <c r="L42" s="265"/>
      <c r="M42" s="264">
        <f t="shared" si="18"/>
        <v>1.0996014870947781</v>
      </c>
      <c r="N42" s="265">
        <f t="shared" si="19"/>
        <v>-0.71345802279048187</v>
      </c>
      <c r="O42" s="397"/>
    </row>
    <row r="43" spans="1:16" ht="12.6" customHeight="1">
      <c r="A43" s="665" t="s">
        <v>427</v>
      </c>
      <c r="B43" s="279" t="s">
        <v>202</v>
      </c>
      <c r="C43" s="275">
        <v>30.693704756903088</v>
      </c>
      <c r="D43" s="275">
        <v>38.92542026337361</v>
      </c>
      <c r="E43" s="275">
        <v>45.438933544909752</v>
      </c>
      <c r="F43" s="275"/>
      <c r="G43" s="275">
        <f t="shared" si="14"/>
        <v>8.2317155064705219</v>
      </c>
      <c r="H43" s="273">
        <f t="shared" si="15"/>
        <v>0.26818904956786582</v>
      </c>
      <c r="I43" s="273"/>
      <c r="J43" s="275">
        <f t="shared" si="16"/>
        <v>6.5135132815361416</v>
      </c>
      <c r="K43" s="273">
        <f t="shared" si="17"/>
        <v>0.16733315240953098</v>
      </c>
      <c r="L43" s="273"/>
      <c r="M43" s="275">
        <f t="shared" si="18"/>
        <v>14.745228788006663</v>
      </c>
      <c r="N43" s="273">
        <f t="shared" si="19"/>
        <v>0.48039912108330379</v>
      </c>
      <c r="O43" s="397"/>
    </row>
    <row r="44" spans="1:16" ht="12.6" customHeight="1" thickBot="1">
      <c r="A44" s="666"/>
      <c r="B44" s="274" t="s">
        <v>428</v>
      </c>
      <c r="C44" s="266">
        <v>-1.3320000000000001</v>
      </c>
      <c r="D44" s="266">
        <v>-1.1694999999999995</v>
      </c>
      <c r="E44" s="266">
        <v>-1.232</v>
      </c>
      <c r="F44" s="266"/>
      <c r="G44" s="264">
        <f t="shared" si="14"/>
        <v>0.16250000000000053</v>
      </c>
      <c r="H44" s="265">
        <f t="shared" si="15"/>
        <v>-0.12199699699699738</v>
      </c>
      <c r="I44" s="265"/>
      <c r="J44" s="264">
        <f t="shared" si="16"/>
        <v>-6.2500000000000444E-2</v>
      </c>
      <c r="K44" s="265">
        <f t="shared" si="17"/>
        <v>5.3441641727234264E-2</v>
      </c>
      <c r="L44" s="265"/>
      <c r="M44" s="264">
        <f t="shared" si="18"/>
        <v>0.10000000000000009</v>
      </c>
      <c r="N44" s="273">
        <f t="shared" si="19"/>
        <v>-7.5075075075075132E-2</v>
      </c>
      <c r="O44" s="397"/>
    </row>
    <row r="45" spans="1:16" ht="12.6" customHeight="1" thickBot="1">
      <c r="A45" s="276" t="s">
        <v>214</v>
      </c>
      <c r="B45" s="274" t="s">
        <v>215</v>
      </c>
      <c r="C45" s="569">
        <v>674.21217461657989</v>
      </c>
      <c r="D45" s="569">
        <v>804.50734711303528</v>
      </c>
      <c r="E45" s="569">
        <v>945.14826506582779</v>
      </c>
      <c r="F45" s="569"/>
      <c r="G45" s="263">
        <f t="shared" si="14"/>
        <v>130.29517249645539</v>
      </c>
      <c r="H45" s="277">
        <f t="shared" si="15"/>
        <v>0.19325544302215161</v>
      </c>
      <c r="I45" s="277"/>
      <c r="J45" s="263">
        <f t="shared" si="16"/>
        <v>140.64091795279251</v>
      </c>
      <c r="K45" s="277">
        <f t="shared" si="17"/>
        <v>0.17481620081840235</v>
      </c>
      <c r="L45" s="277"/>
      <c r="M45" s="263">
        <f t="shared" si="18"/>
        <v>270.9360904492479</v>
      </c>
      <c r="N45" s="277">
        <f t="shared" si="19"/>
        <v>0.40185582617716376</v>
      </c>
      <c r="O45" s="397"/>
    </row>
    <row r="46" spans="1:16" ht="25.9" customHeight="1" thickBot="1">
      <c r="A46" s="281" t="s">
        <v>429</v>
      </c>
      <c r="B46" s="281"/>
      <c r="C46" s="290">
        <v>200</v>
      </c>
      <c r="D46" s="290">
        <v>233</v>
      </c>
      <c r="E46" s="290">
        <v>275</v>
      </c>
      <c r="F46" s="281"/>
      <c r="G46" s="290">
        <v>33</v>
      </c>
      <c r="H46" s="291">
        <v>0.16</v>
      </c>
      <c r="I46" s="281"/>
      <c r="J46" s="290">
        <v>42</v>
      </c>
      <c r="K46" s="291">
        <v>0.18</v>
      </c>
      <c r="L46" s="281"/>
      <c r="M46" s="290">
        <v>75</v>
      </c>
      <c r="N46" s="291">
        <v>0.37</v>
      </c>
      <c r="O46" s="397"/>
    </row>
    <row r="47" spans="1:16" ht="12.6" customHeight="1" thickBot="1">
      <c r="A47" s="282" t="s">
        <v>430</v>
      </c>
      <c r="B47" s="282"/>
      <c r="C47" s="292">
        <v>179</v>
      </c>
      <c r="D47" s="292">
        <v>195</v>
      </c>
      <c r="E47" s="292">
        <v>220</v>
      </c>
      <c r="F47" s="570"/>
      <c r="G47" s="292">
        <v>15</v>
      </c>
      <c r="H47" s="293">
        <v>0.09</v>
      </c>
      <c r="I47" s="570"/>
      <c r="J47" s="292">
        <v>25</v>
      </c>
      <c r="K47" s="293">
        <v>0.13</v>
      </c>
      <c r="L47" s="570"/>
      <c r="M47" s="292">
        <v>41</v>
      </c>
      <c r="N47" s="293">
        <v>0.23</v>
      </c>
      <c r="O47" s="397"/>
    </row>
    <row r="48" spans="1:16" ht="12.6" customHeight="1" thickBot="1">
      <c r="A48" s="282" t="s">
        <v>431</v>
      </c>
      <c r="B48" s="282"/>
      <c r="C48" s="292">
        <v>116</v>
      </c>
      <c r="D48" s="292">
        <v>118</v>
      </c>
      <c r="E48" s="292">
        <v>124</v>
      </c>
      <c r="F48" s="570"/>
      <c r="G48" s="292">
        <v>2</v>
      </c>
      <c r="H48" s="293">
        <v>0.02</v>
      </c>
      <c r="I48" s="570"/>
      <c r="J48" s="292">
        <v>7</v>
      </c>
      <c r="K48" s="293">
        <v>0.06</v>
      </c>
      <c r="L48" s="570"/>
      <c r="M48" s="292">
        <v>9</v>
      </c>
      <c r="N48" s="293">
        <v>7.0000000000000007E-2</v>
      </c>
      <c r="O48" s="397"/>
    </row>
    <row r="49" spans="1:15" ht="12.6" customHeight="1" thickBot="1">
      <c r="A49" s="282" t="s">
        <v>432</v>
      </c>
      <c r="B49" s="282"/>
      <c r="C49" s="292">
        <v>37</v>
      </c>
      <c r="D49" s="292">
        <v>41</v>
      </c>
      <c r="E49" s="292">
        <v>51</v>
      </c>
      <c r="F49" s="570"/>
      <c r="G49" s="292">
        <v>4</v>
      </c>
      <c r="H49" s="293">
        <v>0.1</v>
      </c>
      <c r="I49" s="570"/>
      <c r="J49" s="292">
        <v>9</v>
      </c>
      <c r="K49" s="293">
        <v>0.23</v>
      </c>
      <c r="L49" s="570"/>
      <c r="M49" s="292">
        <v>13</v>
      </c>
      <c r="N49" s="293">
        <v>0.36</v>
      </c>
      <c r="O49" s="397"/>
    </row>
    <row r="50" spans="1:15" ht="12.6" customHeight="1" thickBot="1">
      <c r="A50" s="282" t="s">
        <v>433</v>
      </c>
      <c r="B50" s="282"/>
      <c r="C50" s="292">
        <v>14</v>
      </c>
      <c r="D50" s="292">
        <v>16</v>
      </c>
      <c r="E50" s="292">
        <v>16</v>
      </c>
      <c r="F50" s="570"/>
      <c r="G50" s="292">
        <v>1</v>
      </c>
      <c r="H50" s="293">
        <v>0.1</v>
      </c>
      <c r="I50" s="570"/>
      <c r="J50" s="292">
        <v>0</v>
      </c>
      <c r="K50" s="293">
        <v>0.03</v>
      </c>
      <c r="L50" s="570"/>
      <c r="M50" s="292">
        <v>2</v>
      </c>
      <c r="N50" s="293">
        <v>0.13</v>
      </c>
      <c r="O50" s="397"/>
    </row>
    <row r="51" spans="1:15" ht="12.6" customHeight="1" thickBot="1">
      <c r="A51" s="282" t="s">
        <v>434</v>
      </c>
      <c r="B51" s="282"/>
      <c r="C51" s="292">
        <v>23</v>
      </c>
      <c r="D51" s="292">
        <v>25</v>
      </c>
      <c r="E51" s="292">
        <v>35</v>
      </c>
      <c r="F51" s="570"/>
      <c r="G51" s="292">
        <v>2</v>
      </c>
      <c r="H51" s="293">
        <v>0.11</v>
      </c>
      <c r="I51" s="570"/>
      <c r="J51" s="292">
        <v>9</v>
      </c>
      <c r="K51" s="293">
        <v>0.36</v>
      </c>
      <c r="L51" s="570"/>
      <c r="M51" s="292">
        <v>12</v>
      </c>
      <c r="N51" s="293">
        <v>0.5</v>
      </c>
      <c r="O51" s="397"/>
    </row>
    <row r="52" spans="1:15" ht="12.6" customHeight="1" thickBot="1">
      <c r="A52" s="282" t="s">
        <v>435</v>
      </c>
      <c r="B52" s="282"/>
      <c r="C52" s="292">
        <v>20</v>
      </c>
      <c r="D52" s="292">
        <v>26</v>
      </c>
      <c r="E52" s="292">
        <v>30</v>
      </c>
      <c r="F52" s="570"/>
      <c r="G52" s="292">
        <v>6</v>
      </c>
      <c r="H52" s="293">
        <v>0.33</v>
      </c>
      <c r="I52" s="570"/>
      <c r="J52" s="292">
        <v>4</v>
      </c>
      <c r="K52" s="293">
        <v>0.17</v>
      </c>
      <c r="L52" s="570"/>
      <c r="M52" s="292">
        <v>11</v>
      </c>
      <c r="N52" s="293">
        <v>0.55000000000000004</v>
      </c>
      <c r="O52" s="397"/>
    </row>
    <row r="53" spans="1:15" ht="12.6" customHeight="1" thickBot="1">
      <c r="A53" s="282" t="s">
        <v>436</v>
      </c>
      <c r="B53" s="282"/>
      <c r="C53" s="292">
        <v>4</v>
      </c>
      <c r="D53" s="292">
        <v>8</v>
      </c>
      <c r="E53" s="292">
        <v>10</v>
      </c>
      <c r="F53" s="570"/>
      <c r="G53" s="292">
        <v>3</v>
      </c>
      <c r="H53" s="293">
        <v>0.74</v>
      </c>
      <c r="I53" s="570"/>
      <c r="J53" s="292">
        <v>3</v>
      </c>
      <c r="K53" s="293">
        <v>0.35</v>
      </c>
      <c r="L53" s="570"/>
      <c r="M53" s="292">
        <v>6</v>
      </c>
      <c r="N53" s="293">
        <v>1.35</v>
      </c>
      <c r="O53" s="397"/>
    </row>
    <row r="54" spans="1:15" ht="12.6" customHeight="1" thickBot="1">
      <c r="A54" s="282" t="s">
        <v>437</v>
      </c>
      <c r="B54" s="282"/>
      <c r="C54" s="292">
        <v>2</v>
      </c>
      <c r="D54" s="292">
        <v>2</v>
      </c>
      <c r="E54" s="292">
        <v>4</v>
      </c>
      <c r="F54" s="570"/>
      <c r="G54" s="292">
        <v>0</v>
      </c>
      <c r="H54" s="293">
        <v>0</v>
      </c>
      <c r="I54" s="570"/>
      <c r="J54" s="292">
        <v>2</v>
      </c>
      <c r="K54" s="293">
        <v>1.21</v>
      </c>
      <c r="L54" s="570"/>
      <c r="M54" s="292">
        <v>2</v>
      </c>
      <c r="N54" s="293">
        <v>1.21</v>
      </c>
      <c r="O54" s="397"/>
    </row>
    <row r="55" spans="1:15" ht="12.6" customHeight="1" thickBot="1">
      <c r="A55" s="282" t="s">
        <v>438</v>
      </c>
      <c r="B55" s="282"/>
      <c r="C55" s="292">
        <v>21</v>
      </c>
      <c r="D55" s="292">
        <v>38</v>
      </c>
      <c r="E55" s="292">
        <v>55</v>
      </c>
      <c r="F55" s="570"/>
      <c r="G55" s="292">
        <v>17</v>
      </c>
      <c r="H55" s="293">
        <v>0.83</v>
      </c>
      <c r="I55" s="570"/>
      <c r="J55" s="292">
        <v>17</v>
      </c>
      <c r="K55" s="293">
        <v>0.44</v>
      </c>
      <c r="L55" s="570"/>
      <c r="M55" s="292">
        <v>34</v>
      </c>
      <c r="N55" s="293">
        <v>1.62</v>
      </c>
      <c r="O55" s="397"/>
    </row>
    <row r="56" spans="1:15" ht="12.6" customHeight="1" thickBot="1">
      <c r="A56" s="282" t="s">
        <v>439</v>
      </c>
      <c r="B56" s="282"/>
      <c r="C56" s="292">
        <v>16</v>
      </c>
      <c r="D56" s="292">
        <v>32</v>
      </c>
      <c r="E56" s="292">
        <v>48</v>
      </c>
      <c r="F56" s="570"/>
      <c r="G56" s="292">
        <v>16</v>
      </c>
      <c r="H56" s="293">
        <v>1.03</v>
      </c>
      <c r="I56" s="570"/>
      <c r="J56" s="292">
        <v>16</v>
      </c>
      <c r="K56" s="293">
        <v>0.49</v>
      </c>
      <c r="L56" s="570"/>
      <c r="M56" s="292">
        <v>32</v>
      </c>
      <c r="N56" s="293">
        <v>2.02</v>
      </c>
      <c r="O56" s="397"/>
    </row>
    <row r="57" spans="1:15" ht="12.6" customHeight="1" thickBot="1">
      <c r="A57" s="282" t="s">
        <v>440</v>
      </c>
      <c r="B57" s="282"/>
      <c r="C57" s="292">
        <v>5</v>
      </c>
      <c r="D57" s="292">
        <v>6</v>
      </c>
      <c r="E57" s="292">
        <v>7</v>
      </c>
      <c r="F57" s="570"/>
      <c r="G57" s="292">
        <v>1</v>
      </c>
      <c r="H57" s="293">
        <v>0.21</v>
      </c>
      <c r="I57" s="570"/>
      <c r="J57" s="292">
        <v>1</v>
      </c>
      <c r="K57" s="293">
        <v>0.17</v>
      </c>
      <c r="L57" s="570"/>
      <c r="M57" s="292">
        <v>2</v>
      </c>
      <c r="N57" s="293">
        <v>0.42</v>
      </c>
      <c r="O57" s="397"/>
    </row>
    <row r="58" spans="1:15" ht="25.9" customHeight="1" thickBot="1">
      <c r="A58" s="283" t="s">
        <v>441</v>
      </c>
      <c r="B58" s="283"/>
      <c r="C58" s="294"/>
      <c r="D58" s="294"/>
      <c r="E58" s="294"/>
      <c r="F58" s="283"/>
      <c r="G58" s="294"/>
      <c r="H58" s="294"/>
      <c r="I58" s="283"/>
      <c r="J58" s="294"/>
      <c r="K58" s="294"/>
      <c r="L58" s="283"/>
      <c r="M58" s="294"/>
      <c r="N58" s="294"/>
      <c r="O58" s="397"/>
    </row>
    <row r="59" spans="1:15" ht="12.6" customHeight="1" thickBot="1">
      <c r="A59" s="284" t="s">
        <v>221</v>
      </c>
      <c r="B59" s="282"/>
      <c r="C59" s="571" t="s">
        <v>442</v>
      </c>
      <c r="D59" s="571" t="s">
        <v>443</v>
      </c>
      <c r="E59" s="572">
        <v>200154</v>
      </c>
      <c r="F59" s="573"/>
      <c r="G59" s="571" t="s">
        <v>444</v>
      </c>
      <c r="H59" s="574">
        <v>0.16</v>
      </c>
      <c r="I59" s="573"/>
      <c r="J59" s="572">
        <v>11174</v>
      </c>
      <c r="K59" s="574">
        <v>0.06</v>
      </c>
      <c r="L59" s="573"/>
      <c r="M59" s="572">
        <v>37454</v>
      </c>
      <c r="N59" s="574">
        <v>0.23</v>
      </c>
      <c r="O59" s="397"/>
    </row>
    <row r="60" spans="1:15" ht="12.6" customHeight="1" thickBot="1">
      <c r="A60" s="284" t="s">
        <v>223</v>
      </c>
      <c r="B60" s="282"/>
      <c r="C60" s="572">
        <v>395366</v>
      </c>
      <c r="D60" s="572">
        <v>484888</v>
      </c>
      <c r="E60" s="572">
        <v>525115</v>
      </c>
      <c r="F60" s="573"/>
      <c r="G60" s="572">
        <v>89522</v>
      </c>
      <c r="H60" s="574">
        <v>0.23</v>
      </c>
      <c r="I60" s="573"/>
      <c r="J60" s="572">
        <v>40227</v>
      </c>
      <c r="K60" s="574">
        <v>0.08</v>
      </c>
      <c r="L60" s="573"/>
      <c r="M60" s="572">
        <v>129749</v>
      </c>
      <c r="N60" s="574">
        <v>0.33</v>
      </c>
      <c r="O60" s="397"/>
    </row>
    <row r="61" spans="1:15" ht="25.15" customHeight="1">
      <c r="A61" s="289" t="s">
        <v>445</v>
      </c>
      <c r="B61" s="289"/>
      <c r="C61" s="575">
        <v>9409</v>
      </c>
      <c r="D61" s="575">
        <v>9420</v>
      </c>
      <c r="E61" s="575">
        <v>9420</v>
      </c>
      <c r="F61" s="576"/>
      <c r="G61" s="577">
        <v>11</v>
      </c>
      <c r="H61" s="578">
        <v>1E-3</v>
      </c>
      <c r="I61" s="576"/>
      <c r="J61" s="577">
        <v>0</v>
      </c>
      <c r="K61" s="579">
        <v>0</v>
      </c>
      <c r="L61" s="576"/>
      <c r="M61" s="577">
        <v>11</v>
      </c>
      <c r="N61" s="578">
        <v>1E-3</v>
      </c>
      <c r="O61" s="397"/>
    </row>
    <row r="62" spans="1:15" ht="12.6" customHeight="1">
      <c r="A62" s="532" t="s">
        <v>446</v>
      </c>
      <c r="B62" s="279"/>
      <c r="C62" s="580"/>
      <c r="D62" s="580"/>
      <c r="E62" s="580"/>
      <c r="F62" s="580"/>
      <c r="G62" s="272"/>
      <c r="H62" s="280"/>
      <c r="I62" s="280"/>
      <c r="J62" s="272"/>
      <c r="K62" s="280"/>
      <c r="L62" s="280"/>
      <c r="M62" s="272"/>
      <c r="N62" s="280"/>
      <c r="O62" s="397"/>
    </row>
    <row r="63" spans="1:15" ht="12.6" customHeight="1">
      <c r="A63" s="532" t="s">
        <v>446</v>
      </c>
      <c r="B63" s="279"/>
      <c r="C63" s="580"/>
      <c r="D63" s="580"/>
      <c r="E63" s="580"/>
      <c r="F63" s="580"/>
      <c r="G63" s="272"/>
      <c r="H63" s="280"/>
      <c r="I63" s="280"/>
      <c r="J63" s="272"/>
      <c r="K63" s="280"/>
      <c r="L63" s="280"/>
      <c r="M63" s="272"/>
      <c r="N63" s="280"/>
      <c r="O63" s="397"/>
    </row>
    <row r="64" spans="1:15" ht="12.6" customHeight="1">
      <c r="A64" s="278"/>
      <c r="B64" s="279"/>
      <c r="C64" s="580"/>
      <c r="D64" s="580"/>
      <c r="E64" s="580"/>
      <c r="F64" s="580"/>
      <c r="G64" s="272"/>
      <c r="H64" s="280"/>
      <c r="I64" s="280"/>
      <c r="J64" s="272"/>
      <c r="K64" s="280"/>
      <c r="L64" s="280"/>
      <c r="M64" s="272"/>
      <c r="N64" s="280"/>
      <c r="O64" s="397"/>
    </row>
    <row r="65" spans="1:15" ht="12.6" customHeight="1">
      <c r="A65" s="278"/>
      <c r="B65" s="279"/>
      <c r="C65" s="580"/>
      <c r="D65" s="580"/>
      <c r="E65" s="580"/>
      <c r="F65" s="580"/>
      <c r="G65" s="272"/>
      <c r="H65" s="280"/>
      <c r="I65" s="280"/>
      <c r="J65" s="272"/>
      <c r="K65" s="280"/>
      <c r="L65" s="280"/>
      <c r="M65" s="272"/>
      <c r="N65" s="280"/>
      <c r="O65" s="397"/>
    </row>
    <row r="66" spans="1:15" ht="12.6" customHeight="1">
      <c r="A66" s="278"/>
      <c r="B66" s="279"/>
      <c r="C66" s="580"/>
      <c r="D66" s="580"/>
      <c r="E66" s="580"/>
      <c r="F66" s="580"/>
      <c r="G66" s="272"/>
      <c r="H66" s="280"/>
      <c r="I66" s="280"/>
      <c r="J66" s="272"/>
      <c r="K66" s="280"/>
      <c r="L66" s="280"/>
      <c r="M66" s="272"/>
      <c r="N66" s="280"/>
      <c r="O66" s="397"/>
    </row>
    <row r="67" spans="1:15" ht="12.6" customHeight="1">
      <c r="A67" s="278"/>
      <c r="B67" s="279"/>
      <c r="C67" s="580"/>
      <c r="D67" s="580"/>
      <c r="E67" s="580"/>
      <c r="F67" s="580"/>
      <c r="G67" s="272"/>
      <c r="H67" s="280"/>
      <c r="I67" s="280"/>
      <c r="J67" s="272"/>
      <c r="K67" s="280"/>
      <c r="L67" s="280"/>
      <c r="M67" s="272"/>
      <c r="N67" s="280"/>
      <c r="O67" s="397"/>
    </row>
    <row r="68" spans="1:15" ht="12.6" customHeight="1">
      <c r="A68" s="278"/>
      <c r="B68" s="279"/>
      <c r="C68" s="580"/>
      <c r="D68" s="580"/>
      <c r="E68" s="580"/>
      <c r="F68" s="580"/>
      <c r="G68" s="272"/>
      <c r="H68" s="280"/>
      <c r="I68" s="280"/>
      <c r="J68" s="272"/>
      <c r="K68" s="280"/>
      <c r="L68" s="280"/>
      <c r="M68" s="272"/>
      <c r="N68" s="280"/>
      <c r="O68" s="397"/>
    </row>
    <row r="69" spans="1:15" ht="12.6" customHeight="1">
      <c r="A69" s="278"/>
      <c r="B69" s="279"/>
      <c r="C69" s="580"/>
      <c r="D69" s="580"/>
      <c r="E69" s="580"/>
      <c r="F69" s="580"/>
      <c r="G69" s="272"/>
      <c r="H69" s="280"/>
      <c r="I69" s="280"/>
      <c r="J69" s="272"/>
      <c r="K69" s="280"/>
      <c r="L69" s="280"/>
      <c r="M69" s="272"/>
      <c r="N69" s="280"/>
      <c r="O69" s="397"/>
    </row>
    <row r="70" spans="1:15" ht="12.6" customHeight="1">
      <c r="A70" s="278"/>
      <c r="B70" s="279"/>
      <c r="C70" s="580"/>
      <c r="D70" s="580"/>
      <c r="E70" s="580"/>
      <c r="F70" s="580"/>
      <c r="G70" s="272"/>
      <c r="H70" s="280"/>
      <c r="I70" s="280"/>
      <c r="J70" s="272"/>
      <c r="K70" s="280"/>
      <c r="L70" s="280"/>
      <c r="M70" s="272"/>
      <c r="N70" s="280"/>
      <c r="O70" s="397"/>
    </row>
    <row r="71" spans="1:15" ht="12.6" customHeight="1">
      <c r="A71" s="278"/>
      <c r="B71" s="279"/>
      <c r="C71" s="580"/>
      <c r="D71" s="580"/>
      <c r="E71" s="580"/>
      <c r="F71" s="580"/>
      <c r="G71" s="272"/>
      <c r="H71" s="280"/>
      <c r="I71" s="280"/>
      <c r="J71" s="272"/>
      <c r="K71" s="280"/>
      <c r="L71" s="280"/>
      <c r="M71" s="272"/>
      <c r="N71" s="280"/>
      <c r="O71" s="397"/>
    </row>
    <row r="72" spans="1:15" ht="12.6" customHeight="1">
      <c r="A72" s="278"/>
      <c r="B72" s="279"/>
      <c r="C72" s="580"/>
      <c r="D72" s="580"/>
      <c r="E72" s="580"/>
      <c r="F72" s="580"/>
      <c r="G72" s="272"/>
      <c r="H72" s="280"/>
      <c r="I72" s="280"/>
      <c r="J72" s="272"/>
      <c r="K72" s="280"/>
      <c r="L72" s="280"/>
      <c r="M72" s="272"/>
      <c r="N72" s="280"/>
      <c r="O72" s="397"/>
    </row>
    <row r="73" spans="1:15" ht="12.6" customHeight="1">
      <c r="A73" s="278"/>
      <c r="B73" s="279"/>
      <c r="C73" s="580"/>
      <c r="D73" s="580"/>
      <c r="E73" s="580"/>
      <c r="F73" s="580"/>
      <c r="G73" s="272"/>
      <c r="H73" s="280"/>
      <c r="I73" s="280"/>
      <c r="J73" s="272"/>
      <c r="K73" s="280"/>
      <c r="L73" s="280"/>
      <c r="M73" s="272"/>
      <c r="N73" s="280"/>
      <c r="O73" s="397"/>
    </row>
    <row r="74" spans="1:15" ht="12.6" customHeight="1">
      <c r="A74" s="278"/>
      <c r="B74" s="279"/>
      <c r="C74" s="580"/>
      <c r="D74" s="580"/>
      <c r="E74" s="580"/>
      <c r="F74" s="580"/>
      <c r="G74" s="272"/>
      <c r="H74" s="280"/>
      <c r="I74" s="280"/>
      <c r="J74" s="272"/>
      <c r="K74" s="280"/>
      <c r="L74" s="280"/>
      <c r="M74" s="272"/>
      <c r="N74" s="280"/>
      <c r="O74" s="397"/>
    </row>
    <row r="75" spans="1:15" ht="12.6" customHeight="1">
      <c r="A75" s="278"/>
      <c r="B75" s="279"/>
      <c r="C75" s="580"/>
      <c r="D75" s="580"/>
      <c r="E75" s="580"/>
      <c r="F75" s="580"/>
      <c r="G75" s="272"/>
      <c r="H75" s="280"/>
      <c r="I75" s="280"/>
      <c r="J75" s="272"/>
      <c r="K75" s="280"/>
      <c r="L75" s="280"/>
      <c r="M75" s="272"/>
      <c r="N75" s="280"/>
      <c r="O75" s="397"/>
    </row>
    <row r="76" spans="1:15" ht="12.6" customHeight="1">
      <c r="A76" s="278"/>
      <c r="B76" s="279"/>
      <c r="C76" s="580"/>
      <c r="D76" s="580"/>
      <c r="E76" s="580"/>
      <c r="F76" s="580"/>
      <c r="G76" s="272"/>
      <c r="H76" s="280"/>
      <c r="I76" s="280"/>
      <c r="J76" s="272"/>
      <c r="K76" s="280"/>
      <c r="L76" s="280"/>
      <c r="M76" s="272"/>
      <c r="N76" s="280"/>
      <c r="O76" s="397"/>
    </row>
    <row r="77" spans="1:15" ht="12.6" customHeight="1">
      <c r="A77" s="278"/>
      <c r="B77" s="279"/>
      <c r="C77" s="580"/>
      <c r="D77" s="580"/>
      <c r="E77" s="580"/>
      <c r="F77" s="580"/>
      <c r="G77" s="272"/>
      <c r="H77" s="280"/>
      <c r="I77" s="280"/>
      <c r="J77" s="272"/>
      <c r="K77" s="280"/>
      <c r="L77" s="280"/>
      <c r="M77" s="272"/>
      <c r="N77" s="280"/>
      <c r="O77" s="397"/>
    </row>
    <row r="78" spans="1:15" ht="12.6" customHeight="1">
      <c r="A78" s="278"/>
      <c r="B78" s="279"/>
      <c r="C78" s="580"/>
      <c r="D78" s="580"/>
      <c r="E78" s="580"/>
      <c r="F78" s="580"/>
      <c r="G78" s="272"/>
      <c r="H78" s="280"/>
      <c r="I78" s="280"/>
      <c r="J78" s="272"/>
      <c r="K78" s="280"/>
      <c r="L78" s="280"/>
      <c r="M78" s="272"/>
      <c r="N78" s="280"/>
      <c r="O78" s="397"/>
    </row>
    <row r="79" spans="1:15" ht="12.6" customHeight="1">
      <c r="A79" s="278"/>
      <c r="B79" s="279"/>
      <c r="C79" s="580"/>
      <c r="D79" s="580"/>
      <c r="E79" s="580"/>
      <c r="F79" s="580"/>
      <c r="G79" s="272"/>
      <c r="H79" s="280"/>
      <c r="I79" s="280"/>
      <c r="J79" s="272"/>
      <c r="K79" s="280"/>
      <c r="L79" s="280"/>
      <c r="M79" s="272"/>
      <c r="N79" s="280"/>
      <c r="O79" s="397"/>
    </row>
    <row r="80" spans="1:15" ht="12.6" customHeight="1">
      <c r="A80" s="278"/>
      <c r="B80" s="279"/>
      <c r="C80" s="580"/>
      <c r="D80" s="580"/>
      <c r="E80" s="580"/>
      <c r="F80" s="580"/>
      <c r="G80" s="272"/>
      <c r="H80" s="280"/>
      <c r="I80" s="280"/>
      <c r="J80" s="272"/>
      <c r="K80" s="280"/>
      <c r="L80" s="280"/>
      <c r="M80" s="272"/>
      <c r="N80" s="280"/>
      <c r="O80" s="397"/>
    </row>
    <row r="81" spans="1:15" ht="12.6" customHeight="1">
      <c r="A81" s="278"/>
      <c r="B81" s="279"/>
      <c r="C81" s="580"/>
      <c r="D81" s="580"/>
      <c r="E81" s="580"/>
      <c r="F81" s="580"/>
      <c r="G81" s="272"/>
      <c r="H81" s="280"/>
      <c r="I81" s="280"/>
      <c r="J81" s="272"/>
      <c r="K81" s="280"/>
      <c r="L81" s="280"/>
      <c r="M81" s="272"/>
      <c r="N81" s="280"/>
      <c r="O81" s="397"/>
    </row>
    <row r="82" spans="1:15" ht="12.6" customHeight="1">
      <c r="A82" s="278"/>
      <c r="B82" s="279"/>
      <c r="C82" s="580"/>
      <c r="D82" s="580"/>
      <c r="E82" s="580"/>
      <c r="F82" s="580"/>
      <c r="G82" s="272"/>
      <c r="H82" s="280"/>
      <c r="I82" s="280"/>
      <c r="J82" s="272"/>
      <c r="K82" s="280"/>
      <c r="L82" s="280"/>
      <c r="M82" s="272"/>
      <c r="N82" s="280"/>
      <c r="O82" s="397"/>
    </row>
    <row r="83" spans="1:15" ht="12.6" customHeight="1">
      <c r="A83" s="278"/>
      <c r="B83" s="279"/>
      <c r="C83" s="580"/>
      <c r="D83" s="580"/>
      <c r="E83" s="580"/>
      <c r="F83" s="580"/>
      <c r="G83" s="272"/>
      <c r="H83" s="280"/>
      <c r="I83" s="280"/>
      <c r="J83" s="272"/>
      <c r="K83" s="280"/>
      <c r="L83" s="280"/>
      <c r="M83" s="272"/>
      <c r="N83" s="280"/>
      <c r="O83" s="397"/>
    </row>
    <row r="84" spans="1:15" ht="12.6" customHeight="1">
      <c r="A84" s="278"/>
      <c r="B84" s="279"/>
      <c r="C84" s="580"/>
      <c r="D84" s="580"/>
      <c r="E84" s="580"/>
      <c r="F84" s="580"/>
      <c r="G84" s="272"/>
      <c r="H84" s="280"/>
      <c r="I84" s="280"/>
      <c r="J84" s="272"/>
      <c r="K84" s="280"/>
      <c r="L84" s="280"/>
      <c r="M84" s="272"/>
      <c r="N84" s="280"/>
      <c r="O84" s="397"/>
    </row>
    <row r="85" spans="1:15" ht="12.6" customHeight="1">
      <c r="A85" s="256" t="s">
        <v>147</v>
      </c>
    </row>
    <row r="86" spans="1:15" ht="12.6" customHeight="1">
      <c r="A86" s="248" t="s">
        <v>447</v>
      </c>
    </row>
    <row r="87" spans="1:15" ht="12.6" customHeight="1">
      <c r="A87" s="248" t="s">
        <v>448</v>
      </c>
      <c r="B87" s="533"/>
    </row>
    <row r="88" spans="1:15" ht="12.6" customHeight="1">
      <c r="A88" s="248" t="s">
        <v>449</v>
      </c>
    </row>
    <row r="89" spans="1:15" ht="12.6" customHeight="1">
      <c r="A89" s="248" t="s">
        <v>450</v>
      </c>
    </row>
    <row r="90" spans="1:15" ht="12.6" customHeight="1">
      <c r="A90" s="248" t="s">
        <v>451</v>
      </c>
    </row>
    <row r="91" spans="1:15" ht="12.6" customHeight="1">
      <c r="A91" s="248" t="s">
        <v>452</v>
      </c>
    </row>
    <row r="92" spans="1:15" ht="12.6" customHeight="1">
      <c r="A92" s="248" t="s">
        <v>453</v>
      </c>
    </row>
    <row r="93" spans="1:15" ht="12.6" customHeight="1">
      <c r="A93" s="248" t="s">
        <v>454</v>
      </c>
    </row>
    <row r="94" spans="1:15" ht="12.6" customHeight="1">
      <c r="A94" s="248" t="s">
        <v>455</v>
      </c>
    </row>
    <row r="95" spans="1:15" ht="12.6" customHeight="1">
      <c r="A95" s="248" t="s">
        <v>456</v>
      </c>
    </row>
    <row r="96" spans="1:15" ht="12.6" customHeight="1">
      <c r="A96" s="248" t="s">
        <v>457</v>
      </c>
    </row>
  </sheetData>
  <mergeCells count="41">
    <mergeCell ref="A10:B10"/>
    <mergeCell ref="D4:D5"/>
    <mergeCell ref="C4:C5"/>
    <mergeCell ref="A4:B5"/>
    <mergeCell ref="M4:N4"/>
    <mergeCell ref="A6:B6"/>
    <mergeCell ref="A7:B7"/>
    <mergeCell ref="A8:B8"/>
    <mergeCell ref="A9:B9"/>
    <mergeCell ref="G4:H4"/>
    <mergeCell ref="J4:K4"/>
    <mergeCell ref="E4:E5"/>
    <mergeCell ref="A18:B18"/>
    <mergeCell ref="A11:B11"/>
    <mergeCell ref="A12:B12"/>
    <mergeCell ref="A13:B13"/>
    <mergeCell ref="M13:N13"/>
    <mergeCell ref="A14:B14"/>
    <mergeCell ref="A15:B15"/>
    <mergeCell ref="A16:B16"/>
    <mergeCell ref="A17:B17"/>
    <mergeCell ref="G13:H13"/>
    <mergeCell ref="J13:K13"/>
    <mergeCell ref="A31:A32"/>
    <mergeCell ref="A19:B19"/>
    <mergeCell ref="A20:B20"/>
    <mergeCell ref="A21:B21"/>
    <mergeCell ref="A23:B23"/>
    <mergeCell ref="A24:B24"/>
    <mergeCell ref="A25:B25"/>
    <mergeCell ref="A26:B26"/>
    <mergeCell ref="A27:B27"/>
    <mergeCell ref="A28:B28"/>
    <mergeCell ref="A29:A30"/>
    <mergeCell ref="A22:B22"/>
    <mergeCell ref="A43:A44"/>
    <mergeCell ref="A33:A34"/>
    <mergeCell ref="A35:A36"/>
    <mergeCell ref="A37:A38"/>
    <mergeCell ref="A39:A40"/>
    <mergeCell ref="A41:A42"/>
  </mergeCells>
  <hyperlinks>
    <hyperlink ref="A1" location="'Sumário Cap.XI'!A1" display="Voltar para Sumário" xr:uid="{6A85F129-2C81-485E-926A-49E7206E28B4}"/>
  </hyperlinks>
  <pageMargins left="0.51181102362204722" right="0.51181102362204722" top="0.78740157480314965" bottom="0.78740157480314965" header="0.31496062992125984" footer="0.31496062992125984"/>
  <pageSetup paperSize="9" scale="9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3D875-94FA-4CB1-AC61-6182D9F2A12E}">
  <sheetPr>
    <tabColor rgb="FF00678E"/>
  </sheetPr>
  <dimension ref="A1:C17"/>
  <sheetViews>
    <sheetView showGridLines="0" workbookViewId="0"/>
  </sheetViews>
  <sheetFormatPr defaultColWidth="8.85546875" defaultRowHeight="12.6" customHeight="1"/>
  <cols>
    <col min="1" max="1" width="46.85546875" style="248" bestFit="1" customWidth="1"/>
    <col min="2" max="2" width="17" style="248" customWidth="1"/>
    <col min="3" max="3" width="8.85546875" style="248" customWidth="1"/>
    <col min="4" max="16384" width="8.85546875" style="248"/>
  </cols>
  <sheetData>
    <row r="1" spans="1:3" ht="12.6" customHeight="1">
      <c r="A1" s="591" t="s">
        <v>22</v>
      </c>
    </row>
    <row r="2" spans="1:3" ht="12.6" customHeight="1">
      <c r="A2" s="295" t="s">
        <v>458</v>
      </c>
    </row>
    <row r="3" spans="1:3" ht="12.6" customHeight="1" thickBot="1">
      <c r="A3" s="349"/>
      <c r="B3" s="349"/>
      <c r="C3" s="349"/>
    </row>
    <row r="4" spans="1:3" ht="12.6" customHeight="1">
      <c r="A4" s="675"/>
      <c r="B4" s="350" t="s">
        <v>237</v>
      </c>
      <c r="C4" s="677" t="s">
        <v>56</v>
      </c>
    </row>
    <row r="5" spans="1:3" ht="12.6" customHeight="1">
      <c r="A5" s="676"/>
      <c r="B5" s="351" t="s">
        <v>459</v>
      </c>
      <c r="C5" s="678"/>
    </row>
    <row r="6" spans="1:3" ht="12.6" customHeight="1">
      <c r="A6" s="352" t="s">
        <v>239</v>
      </c>
      <c r="B6" s="353">
        <v>528</v>
      </c>
      <c r="C6" s="354">
        <v>0.16200000000000001</v>
      </c>
    </row>
    <row r="7" spans="1:3" ht="12.6" customHeight="1">
      <c r="A7" s="355" t="s">
        <v>460</v>
      </c>
      <c r="B7" s="356">
        <v>292</v>
      </c>
      <c r="C7" s="357">
        <v>0.09</v>
      </c>
    </row>
    <row r="8" spans="1:3" ht="12.6" customHeight="1">
      <c r="A8" s="355" t="s">
        <v>461</v>
      </c>
      <c r="B8" s="356">
        <v>135</v>
      </c>
      <c r="C8" s="357">
        <v>4.1000000000000002E-2</v>
      </c>
    </row>
    <row r="9" spans="1:3" ht="12.6" customHeight="1" thickBot="1">
      <c r="A9" s="355" t="s">
        <v>462</v>
      </c>
      <c r="B9" s="356">
        <v>101</v>
      </c>
      <c r="C9" s="357">
        <v>3.1E-2</v>
      </c>
    </row>
    <row r="10" spans="1:3" ht="12.6" customHeight="1">
      <c r="A10" s="358" t="s">
        <v>242</v>
      </c>
      <c r="B10" s="359">
        <v>2664</v>
      </c>
      <c r="C10" s="360">
        <v>0.81899999999999995</v>
      </c>
    </row>
    <row r="11" spans="1:3" ht="12.6" customHeight="1">
      <c r="A11" s="361" t="s">
        <v>463</v>
      </c>
      <c r="B11" s="362">
        <v>2496</v>
      </c>
      <c r="C11" s="357">
        <v>0.76800000000000002</v>
      </c>
    </row>
    <row r="12" spans="1:3" ht="12.6" customHeight="1">
      <c r="A12" s="355" t="s">
        <v>464</v>
      </c>
      <c r="B12" s="356">
        <v>31</v>
      </c>
      <c r="C12" s="357">
        <v>8.9999999999999993E-3</v>
      </c>
    </row>
    <row r="13" spans="1:3" ht="12.6" customHeight="1" thickBot="1">
      <c r="A13" s="363" t="s">
        <v>465</v>
      </c>
      <c r="B13" s="364">
        <v>138</v>
      </c>
      <c r="C13" s="365">
        <v>4.2000000000000003E-2</v>
      </c>
    </row>
    <row r="14" spans="1:3" ht="12.6" customHeight="1">
      <c r="A14" s="352" t="s">
        <v>250</v>
      </c>
      <c r="B14" s="353">
        <v>60</v>
      </c>
      <c r="C14" s="354">
        <v>1.7999999999999999E-2</v>
      </c>
    </row>
    <row r="15" spans="1:3" ht="12.6" customHeight="1">
      <c r="A15" s="355" t="s">
        <v>466</v>
      </c>
      <c r="B15" s="356">
        <v>58</v>
      </c>
      <c r="C15" s="357">
        <v>1.7999999999999999E-2</v>
      </c>
    </row>
    <row r="16" spans="1:3" ht="12.6" customHeight="1">
      <c r="A16" s="355" t="s">
        <v>467</v>
      </c>
      <c r="B16" s="356">
        <v>2</v>
      </c>
      <c r="C16" s="357">
        <v>1E-3</v>
      </c>
    </row>
    <row r="17" spans="1:3" ht="12.6" customHeight="1" thickBot="1">
      <c r="A17" s="366" t="s">
        <v>254</v>
      </c>
      <c r="B17" s="367">
        <v>3252</v>
      </c>
      <c r="C17" s="368">
        <v>1</v>
      </c>
    </row>
  </sheetData>
  <mergeCells count="2">
    <mergeCell ref="A4:A5"/>
    <mergeCell ref="C4:C5"/>
  </mergeCells>
  <hyperlinks>
    <hyperlink ref="A1" location="'Sumário Cap.XI'!A1" display="Voltar para Sumário" xr:uid="{8EEA13C2-D378-4472-85F7-B6BBB86E34EA}"/>
  </hyperlinks>
  <pageMargins left="0.511811024" right="0.511811024" top="0.78740157499999996" bottom="0.78740157499999996" header="0.31496062000000002" footer="0.3149606200000000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678E"/>
  </sheetPr>
  <dimension ref="A1:AB36"/>
  <sheetViews>
    <sheetView showGridLines="0" zoomScaleNormal="100" workbookViewId="0"/>
  </sheetViews>
  <sheetFormatPr defaultColWidth="8.85546875" defaultRowHeight="13.15"/>
  <cols>
    <col min="1" max="1" width="40.7109375" style="248" bestFit="1" customWidth="1"/>
    <col min="2" max="12" width="8.85546875" style="248"/>
    <col min="13" max="13" width="13.28515625" style="248" bestFit="1" customWidth="1"/>
    <col min="14" max="16384" width="8.85546875" style="248"/>
  </cols>
  <sheetData>
    <row r="1" spans="1:28">
      <c r="A1" s="591" t="s">
        <v>22</v>
      </c>
    </row>
    <row r="2" spans="1:28">
      <c r="A2" s="295" t="s">
        <v>468</v>
      </c>
    </row>
    <row r="3" spans="1:28" ht="13.9" thickBot="1"/>
    <row r="4" spans="1:28" ht="15.6" thickBot="1">
      <c r="A4" s="296"/>
      <c r="B4" s="679" t="s">
        <v>469</v>
      </c>
      <c r="C4" s="679"/>
      <c r="D4" s="679"/>
      <c r="E4" s="679"/>
      <c r="F4" s="679"/>
      <c r="G4" s="679"/>
      <c r="H4" s="679"/>
      <c r="I4" s="679"/>
      <c r="J4" s="679"/>
      <c r="K4" s="679"/>
      <c r="L4" s="680" t="s">
        <v>470</v>
      </c>
      <c r="M4" s="679"/>
      <c r="N4" s="679"/>
      <c r="O4" s="679"/>
      <c r="P4" s="679"/>
      <c r="Q4" s="679"/>
      <c r="R4" s="679"/>
      <c r="S4" s="679"/>
      <c r="T4" s="679"/>
      <c r="U4" s="679"/>
      <c r="V4" s="679"/>
      <c r="W4" s="679"/>
      <c r="X4" s="679"/>
      <c r="Y4" s="679"/>
      <c r="Z4" s="679"/>
      <c r="AA4" s="681"/>
      <c r="AB4" s="296"/>
    </row>
    <row r="5" spans="1:28" ht="92.45" thickBot="1">
      <c r="A5" s="297" t="s">
        <v>471</v>
      </c>
      <c r="B5" s="298" t="s">
        <v>472</v>
      </c>
      <c r="C5" s="299" t="s">
        <v>473</v>
      </c>
      <c r="D5" s="299" t="s">
        <v>474</v>
      </c>
      <c r="E5" s="299" t="s">
        <v>475</v>
      </c>
      <c r="F5" s="299" t="s">
        <v>476</v>
      </c>
      <c r="G5" s="299" t="s">
        <v>477</v>
      </c>
      <c r="H5" s="299" t="s">
        <v>478</v>
      </c>
      <c r="I5" s="299" t="s">
        <v>479</v>
      </c>
      <c r="J5" s="299" t="s">
        <v>480</v>
      </c>
      <c r="K5" s="300" t="s">
        <v>481</v>
      </c>
      <c r="L5" s="301" t="s">
        <v>482</v>
      </c>
      <c r="M5" s="302" t="s">
        <v>483</v>
      </c>
      <c r="N5" s="302" t="s">
        <v>484</v>
      </c>
      <c r="O5" s="302" t="s">
        <v>485</v>
      </c>
      <c r="P5" s="302" t="s">
        <v>486</v>
      </c>
      <c r="Q5" s="302" t="s">
        <v>487</v>
      </c>
      <c r="R5" s="303" t="s">
        <v>488</v>
      </c>
      <c r="S5" s="302" t="s">
        <v>489</v>
      </c>
      <c r="T5" s="302" t="s">
        <v>490</v>
      </c>
      <c r="U5" s="302" t="s">
        <v>491</v>
      </c>
      <c r="V5" s="302" t="s">
        <v>492</v>
      </c>
      <c r="W5" s="302" t="s">
        <v>493</v>
      </c>
      <c r="X5" s="302" t="s">
        <v>494</v>
      </c>
      <c r="Y5" s="302" t="s">
        <v>495</v>
      </c>
      <c r="Z5" s="304" t="s">
        <v>496</v>
      </c>
      <c r="AA5" s="305" t="s">
        <v>497</v>
      </c>
      <c r="AB5" s="306" t="s">
        <v>265</v>
      </c>
    </row>
    <row r="6" spans="1:28">
      <c r="A6" s="307" t="s">
        <v>498</v>
      </c>
      <c r="B6" s="308">
        <v>267296.15979000001</v>
      </c>
      <c r="C6" s="309">
        <v>89060.165060606771</v>
      </c>
      <c r="D6" s="309">
        <v>2122.4540586359999</v>
      </c>
      <c r="E6" s="310">
        <v>0</v>
      </c>
      <c r="F6" s="309">
        <v>8807.3358006460548</v>
      </c>
      <c r="G6" s="309">
        <v>42574.376497673322</v>
      </c>
      <c r="H6" s="309">
        <v>27811.107963023824</v>
      </c>
      <c r="I6" s="311">
        <v>66248.775483029851</v>
      </c>
      <c r="J6" s="309">
        <v>48406.812819417843</v>
      </c>
      <c r="K6" s="312">
        <v>552327.18747303367</v>
      </c>
      <c r="L6" s="309">
        <v>0</v>
      </c>
      <c r="M6" s="309">
        <v>0</v>
      </c>
      <c r="N6" s="309">
        <v>0</v>
      </c>
      <c r="O6" s="309">
        <v>0</v>
      </c>
      <c r="P6" s="309">
        <v>0</v>
      </c>
      <c r="Q6" s="309">
        <v>0</v>
      </c>
      <c r="R6" s="309">
        <v>0</v>
      </c>
      <c r="S6" s="309">
        <v>0</v>
      </c>
      <c r="T6" s="309">
        <v>0</v>
      </c>
      <c r="U6" s="309">
        <v>0</v>
      </c>
      <c r="V6" s="309">
        <v>0</v>
      </c>
      <c r="W6" s="309">
        <v>0</v>
      </c>
      <c r="X6" s="309">
        <v>0</v>
      </c>
      <c r="Y6" s="309">
        <v>0</v>
      </c>
      <c r="Z6" s="313">
        <v>0</v>
      </c>
      <c r="AA6" s="312">
        <v>0</v>
      </c>
      <c r="AB6" s="312">
        <v>552327.18747303367</v>
      </c>
    </row>
    <row r="7" spans="1:28">
      <c r="A7" s="307" t="s">
        <v>499</v>
      </c>
      <c r="B7" s="314">
        <v>8808.7734899999996</v>
      </c>
      <c r="C7" s="310">
        <v>4744.0200563910794</v>
      </c>
      <c r="D7" s="310">
        <v>4960.9798748045687</v>
      </c>
      <c r="E7" s="310">
        <v>10829.200030467209</v>
      </c>
      <c r="F7" s="310">
        <v>0</v>
      </c>
      <c r="G7" s="310">
        <v>0</v>
      </c>
      <c r="H7" s="310">
        <v>0</v>
      </c>
      <c r="I7" s="315">
        <v>0</v>
      </c>
      <c r="J7" s="310">
        <v>0</v>
      </c>
      <c r="K7" s="316">
        <v>29342.97345166286</v>
      </c>
      <c r="L7" s="310">
        <v>21944.370159999999</v>
      </c>
      <c r="M7" s="310">
        <v>73.354050000000001</v>
      </c>
      <c r="N7" s="310">
        <v>0</v>
      </c>
      <c r="O7" s="310">
        <v>0</v>
      </c>
      <c r="P7" s="310">
        <v>3039.6433499999998</v>
      </c>
      <c r="Q7" s="310">
        <v>2412.8905799999998</v>
      </c>
      <c r="R7" s="315">
        <v>0</v>
      </c>
      <c r="S7" s="315">
        <v>1151.0215065314387</v>
      </c>
      <c r="T7" s="314">
        <v>0</v>
      </c>
      <c r="U7" s="315">
        <v>1012.8598744000005</v>
      </c>
      <c r="V7" s="315">
        <v>0</v>
      </c>
      <c r="W7" s="315">
        <v>534</v>
      </c>
      <c r="X7" s="310">
        <v>2584.7047500000003</v>
      </c>
      <c r="Y7" s="310">
        <v>1055.0033000000001</v>
      </c>
      <c r="Z7" s="317">
        <v>0</v>
      </c>
      <c r="AA7" s="316">
        <v>33807.847570931437</v>
      </c>
      <c r="AB7" s="316">
        <v>63150.821022594297</v>
      </c>
    </row>
    <row r="8" spans="1:28">
      <c r="A8" s="307" t="s">
        <v>500</v>
      </c>
      <c r="B8" s="314">
        <v>0</v>
      </c>
      <c r="C8" s="310">
        <v>0</v>
      </c>
      <c r="D8" s="310">
        <v>0</v>
      </c>
      <c r="E8" s="310">
        <v>0</v>
      </c>
      <c r="F8" s="310">
        <v>0</v>
      </c>
      <c r="G8" s="310">
        <v>0</v>
      </c>
      <c r="H8" s="310">
        <v>0</v>
      </c>
      <c r="I8" s="315">
        <v>0</v>
      </c>
      <c r="J8" s="310">
        <v>0</v>
      </c>
      <c r="K8" s="316">
        <v>0</v>
      </c>
      <c r="L8" s="310">
        <v>0</v>
      </c>
      <c r="M8" s="310">
        <v>0</v>
      </c>
      <c r="N8" s="310">
        <v>0</v>
      </c>
      <c r="O8" s="310">
        <v>0</v>
      </c>
      <c r="P8" s="310">
        <v>0</v>
      </c>
      <c r="Q8" s="310">
        <v>0</v>
      </c>
      <c r="R8" s="315">
        <v>0</v>
      </c>
      <c r="S8" s="315">
        <v>0</v>
      </c>
      <c r="T8" s="314">
        <v>0</v>
      </c>
      <c r="U8" s="315">
        <v>0</v>
      </c>
      <c r="V8" s="315">
        <v>0</v>
      </c>
      <c r="W8" s="315">
        <v>0</v>
      </c>
      <c r="X8" s="315">
        <v>0</v>
      </c>
      <c r="Y8" s="315">
        <v>0</v>
      </c>
      <c r="Z8" s="317">
        <v>0</v>
      </c>
      <c r="AA8" s="316">
        <v>0</v>
      </c>
      <c r="AB8" s="316">
        <v>0</v>
      </c>
    </row>
    <row r="9" spans="1:28">
      <c r="A9" s="307" t="s">
        <v>501</v>
      </c>
      <c r="B9" s="314">
        <v>276104.93328</v>
      </c>
      <c r="C9" s="310">
        <v>93804.185116997847</v>
      </c>
      <c r="D9" s="310">
        <v>7083.4339334405686</v>
      </c>
      <c r="E9" s="310">
        <v>10829.200030467209</v>
      </c>
      <c r="F9" s="310">
        <v>8807.3358006460548</v>
      </c>
      <c r="G9" s="310">
        <v>42574.376497673322</v>
      </c>
      <c r="H9" s="310">
        <v>27811.107963023824</v>
      </c>
      <c r="I9" s="315">
        <v>66248.775483029851</v>
      </c>
      <c r="J9" s="310">
        <v>48406.812819417843</v>
      </c>
      <c r="K9" s="316">
        <v>581670.16092469648</v>
      </c>
      <c r="L9" s="310">
        <v>21944.370159999999</v>
      </c>
      <c r="M9" s="310">
        <v>73.354050000000001</v>
      </c>
      <c r="N9" s="310">
        <v>0</v>
      </c>
      <c r="O9" s="310">
        <v>0</v>
      </c>
      <c r="P9" s="310">
        <v>3039.6433499999998</v>
      </c>
      <c r="Q9" s="310">
        <v>2412.8905799999998</v>
      </c>
      <c r="R9" s="310">
        <v>0</v>
      </c>
      <c r="S9" s="310">
        <v>1151.0215065314387</v>
      </c>
      <c r="T9" s="310">
        <v>0</v>
      </c>
      <c r="U9" s="310">
        <v>1012.8598744000005</v>
      </c>
      <c r="V9" s="310">
        <v>0</v>
      </c>
      <c r="W9" s="310">
        <v>534</v>
      </c>
      <c r="X9" s="310">
        <v>2584.7047500000003</v>
      </c>
      <c r="Y9" s="310">
        <v>1055.0033000000001</v>
      </c>
      <c r="Z9" s="317">
        <v>0</v>
      </c>
      <c r="AA9" s="316">
        <v>33807.847570931437</v>
      </c>
      <c r="AB9" s="316">
        <v>615478.0084956279</v>
      </c>
    </row>
    <row r="10" spans="1:28">
      <c r="A10" s="307" t="s">
        <v>502</v>
      </c>
      <c r="B10" s="314">
        <v>-176263.92827999999</v>
      </c>
      <c r="C10" s="310">
        <v>0</v>
      </c>
      <c r="D10" s="310">
        <v>0</v>
      </c>
      <c r="E10" s="310">
        <v>0</v>
      </c>
      <c r="F10" s="310">
        <v>0</v>
      </c>
      <c r="G10" s="310">
        <v>0</v>
      </c>
      <c r="H10" s="310">
        <v>0</v>
      </c>
      <c r="I10" s="315">
        <v>0</v>
      </c>
      <c r="J10" s="310">
        <v>-55.895999999999994</v>
      </c>
      <c r="K10" s="316">
        <v>-176319.82428</v>
      </c>
      <c r="L10" s="310">
        <v>-1237.1763429268926</v>
      </c>
      <c r="M10" s="310">
        <v>-8996.1078276177759</v>
      </c>
      <c r="N10" s="310">
        <v>-550.39215000000002</v>
      </c>
      <c r="O10" s="310">
        <v>-707.71824500000002</v>
      </c>
      <c r="P10" s="310">
        <v>0</v>
      </c>
      <c r="Q10" s="310">
        <v>-2775.9075799971984</v>
      </c>
      <c r="R10" s="310">
        <v>0</v>
      </c>
      <c r="S10" s="315">
        <v>0</v>
      </c>
      <c r="T10" s="314">
        <v>0</v>
      </c>
      <c r="U10" s="315">
        <v>0</v>
      </c>
      <c r="V10" s="315">
        <v>0</v>
      </c>
      <c r="W10" s="315">
        <v>-1174.8600000000001</v>
      </c>
      <c r="X10" s="310">
        <v>-271.18770000000001</v>
      </c>
      <c r="Y10" s="310">
        <v>-76.982880000000009</v>
      </c>
      <c r="Z10" s="317">
        <v>0</v>
      </c>
      <c r="AA10" s="316">
        <v>-15790.332725541866</v>
      </c>
      <c r="AB10" s="316">
        <v>-192110.15700554187</v>
      </c>
    </row>
    <row r="11" spans="1:28">
      <c r="A11" s="307" t="s">
        <v>503</v>
      </c>
      <c r="B11" s="314">
        <v>0</v>
      </c>
      <c r="C11" s="310">
        <v>-2825.889404856744</v>
      </c>
      <c r="D11" s="310">
        <v>0</v>
      </c>
      <c r="E11" s="310">
        <v>0</v>
      </c>
      <c r="F11" s="310">
        <v>0</v>
      </c>
      <c r="G11" s="310">
        <v>0</v>
      </c>
      <c r="H11" s="310">
        <v>0</v>
      </c>
      <c r="I11" s="315">
        <v>0</v>
      </c>
      <c r="J11" s="310">
        <v>0</v>
      </c>
      <c r="K11" s="316">
        <v>-2825.889404856744</v>
      </c>
      <c r="L11" s="310">
        <v>0</v>
      </c>
      <c r="M11" s="310">
        <v>0</v>
      </c>
      <c r="N11" s="310">
        <v>0</v>
      </c>
      <c r="O11" s="310">
        <v>0</v>
      </c>
      <c r="P11" s="310">
        <v>0</v>
      </c>
      <c r="Q11" s="310">
        <v>0</v>
      </c>
      <c r="R11" s="310">
        <v>0</v>
      </c>
      <c r="S11" s="310">
        <v>0</v>
      </c>
      <c r="T11" s="310">
        <v>0</v>
      </c>
      <c r="U11" s="310">
        <v>0</v>
      </c>
      <c r="V11" s="310">
        <v>0</v>
      </c>
      <c r="W11" s="310">
        <v>0</v>
      </c>
      <c r="X11" s="310">
        <v>0</v>
      </c>
      <c r="Y11" s="310">
        <v>0</v>
      </c>
      <c r="Z11" s="317">
        <v>0</v>
      </c>
      <c r="AA11" s="316">
        <v>0</v>
      </c>
      <c r="AB11" s="316">
        <v>-2825.889404856744</v>
      </c>
    </row>
    <row r="12" spans="1:28" ht="13.9" thickBot="1">
      <c r="A12" s="318" t="s">
        <v>504</v>
      </c>
      <c r="B12" s="314">
        <v>0</v>
      </c>
      <c r="C12" s="310">
        <v>-36116.657793646555</v>
      </c>
      <c r="D12" s="310">
        <v>0</v>
      </c>
      <c r="E12" s="310">
        <v>0</v>
      </c>
      <c r="F12" s="310">
        <v>0</v>
      </c>
      <c r="G12" s="310">
        <v>0</v>
      </c>
      <c r="H12" s="310">
        <v>0</v>
      </c>
      <c r="I12" s="319">
        <v>0</v>
      </c>
      <c r="J12" s="310">
        <v>0</v>
      </c>
      <c r="K12" s="320">
        <v>-36116.657793646555</v>
      </c>
      <c r="L12" s="310">
        <v>0</v>
      </c>
      <c r="M12" s="310">
        <v>0</v>
      </c>
      <c r="N12" s="321">
        <v>0</v>
      </c>
      <c r="O12" s="310">
        <v>0</v>
      </c>
      <c r="P12" s="310">
        <v>0</v>
      </c>
      <c r="Q12" s="321">
        <v>0</v>
      </c>
      <c r="R12" s="321">
        <v>0</v>
      </c>
      <c r="S12" s="321">
        <v>0</v>
      </c>
      <c r="T12" s="321">
        <v>0</v>
      </c>
      <c r="U12" s="321">
        <v>0</v>
      </c>
      <c r="V12" s="321">
        <v>0</v>
      </c>
      <c r="W12" s="321">
        <v>0</v>
      </c>
      <c r="X12" s="321">
        <v>0</v>
      </c>
      <c r="Y12" s="321">
        <v>0</v>
      </c>
      <c r="Z12" s="322">
        <v>0</v>
      </c>
      <c r="AA12" s="320">
        <v>0</v>
      </c>
      <c r="AB12" s="320">
        <v>-36116.657793646555</v>
      </c>
    </row>
    <row r="13" spans="1:28">
      <c r="A13" s="323" t="s">
        <v>505</v>
      </c>
      <c r="B13" s="324">
        <v>99841.005000000005</v>
      </c>
      <c r="C13" s="325">
        <v>54861.637918494547</v>
      </c>
      <c r="D13" s="325">
        <v>7083.4339334405686</v>
      </c>
      <c r="E13" s="325">
        <v>10829.200030467209</v>
      </c>
      <c r="F13" s="325">
        <v>8807.3358006460548</v>
      </c>
      <c r="G13" s="325">
        <v>42574.376497673322</v>
      </c>
      <c r="H13" s="325">
        <v>27811.107963023824</v>
      </c>
      <c r="I13" s="326">
        <v>66248.775483029851</v>
      </c>
      <c r="J13" s="325">
        <v>48350.916819417842</v>
      </c>
      <c r="K13" s="327">
        <v>366407.7894461932</v>
      </c>
      <c r="L13" s="325">
        <v>20707.193817073105</v>
      </c>
      <c r="M13" s="325">
        <v>-8922.753777617776</v>
      </c>
      <c r="N13" s="328">
        <v>-550.39215000000002</v>
      </c>
      <c r="O13" s="325">
        <v>-707.71824500000002</v>
      </c>
      <c r="P13" s="325">
        <v>3039.6433499999998</v>
      </c>
      <c r="Q13" s="328">
        <v>-363.01699999719858</v>
      </c>
      <c r="R13" s="328">
        <v>0</v>
      </c>
      <c r="S13" s="328">
        <v>1151.0215065314387</v>
      </c>
      <c r="T13" s="328">
        <v>0</v>
      </c>
      <c r="U13" s="328">
        <v>1012.8598744000005</v>
      </c>
      <c r="V13" s="328">
        <v>0</v>
      </c>
      <c r="W13" s="328">
        <v>-640.86000000000013</v>
      </c>
      <c r="X13" s="328">
        <v>2313.5170500000004</v>
      </c>
      <c r="Y13" s="328">
        <v>978.02042000000006</v>
      </c>
      <c r="Z13" s="329">
        <v>0</v>
      </c>
      <c r="AA13" s="327">
        <v>18017.514845389571</v>
      </c>
      <c r="AB13" s="327">
        <v>384425.30429158278</v>
      </c>
    </row>
    <row r="14" spans="1:28" ht="13.9" thickBot="1">
      <c r="A14" s="318" t="s">
        <v>506</v>
      </c>
      <c r="B14" s="330">
        <v>-99841.005000000005</v>
      </c>
      <c r="C14" s="321">
        <v>-25460.376918296173</v>
      </c>
      <c r="D14" s="321">
        <v>-2514.3721376755934</v>
      </c>
      <c r="E14" s="321">
        <v>-10829.200030467209</v>
      </c>
      <c r="F14" s="321">
        <v>-8807.3358006460548</v>
      </c>
      <c r="G14" s="321">
        <v>-42574.376497673322</v>
      </c>
      <c r="H14" s="321">
        <v>-10071.744260756015</v>
      </c>
      <c r="I14" s="319">
        <v>-30006.046124097855</v>
      </c>
      <c r="J14" s="321">
        <v>-36796.848336937823</v>
      </c>
      <c r="K14" s="331">
        <v>-266901.30510655005</v>
      </c>
      <c r="L14" s="321">
        <v>44041.307097876168</v>
      </c>
      <c r="M14" s="321">
        <v>11324.562891650688</v>
      </c>
      <c r="N14" s="310">
        <v>21613.307100000002</v>
      </c>
      <c r="O14" s="321">
        <v>10361.276900000001</v>
      </c>
      <c r="P14" s="321">
        <v>2310.1578309126571</v>
      </c>
      <c r="Q14" s="310">
        <v>5415.8415299999997</v>
      </c>
      <c r="R14" s="310">
        <v>1686.6666442912988</v>
      </c>
      <c r="S14" s="310">
        <v>9268.203409093454</v>
      </c>
      <c r="T14" s="310">
        <v>0</v>
      </c>
      <c r="U14" s="310">
        <v>80269.890921261191</v>
      </c>
      <c r="V14" s="310">
        <v>5072.0059395217768</v>
      </c>
      <c r="W14" s="310">
        <v>23433.504089097099</v>
      </c>
      <c r="X14" s="310">
        <v>7523.2217978137269</v>
      </c>
      <c r="Y14" s="332">
        <v>6130.5698388243372</v>
      </c>
      <c r="Z14" s="317">
        <v>325.7109216278194</v>
      </c>
      <c r="AA14" s="331">
        <v>228776.22691197018</v>
      </c>
      <c r="AB14" s="331">
        <v>-38125.078194579866</v>
      </c>
    </row>
    <row r="15" spans="1:28">
      <c r="A15" s="333" t="s">
        <v>507</v>
      </c>
      <c r="B15" s="314">
        <v>-99841.005000000005</v>
      </c>
      <c r="C15" s="310">
        <v>0</v>
      </c>
      <c r="D15" s="310">
        <v>0</v>
      </c>
      <c r="E15" s="310">
        <v>0</v>
      </c>
      <c r="F15" s="310">
        <v>0</v>
      </c>
      <c r="G15" s="310">
        <v>0</v>
      </c>
      <c r="H15" s="310">
        <v>0</v>
      </c>
      <c r="I15" s="315">
        <v>0</v>
      </c>
      <c r="J15" s="310">
        <v>-1908.2283008144766</v>
      </c>
      <c r="K15" s="312">
        <v>-101749.23330081448</v>
      </c>
      <c r="L15" s="310">
        <v>37234.946479999999</v>
      </c>
      <c r="M15" s="310">
        <v>11616.106590383462</v>
      </c>
      <c r="N15" s="309">
        <v>20643.684600000001</v>
      </c>
      <c r="O15" s="310">
        <v>4289.4705100000001</v>
      </c>
      <c r="P15" s="310">
        <v>5679.9949500000002</v>
      </c>
      <c r="Q15" s="309">
        <v>5415.8415299999997</v>
      </c>
      <c r="R15" s="309">
        <v>0</v>
      </c>
      <c r="S15" s="309">
        <v>0</v>
      </c>
      <c r="T15" s="309">
        <v>0</v>
      </c>
      <c r="U15" s="309">
        <v>0</v>
      </c>
      <c r="V15" s="309">
        <v>0</v>
      </c>
      <c r="W15" s="309">
        <v>0</v>
      </c>
      <c r="X15" s="309">
        <v>7771.7584027677813</v>
      </c>
      <c r="Y15" s="310">
        <v>5219.893395272582</v>
      </c>
      <c r="Z15" s="313">
        <v>0</v>
      </c>
      <c r="AA15" s="312">
        <v>97871.696458423816</v>
      </c>
      <c r="AB15" s="312">
        <v>-3877.5368423906621</v>
      </c>
    </row>
    <row r="16" spans="1:28">
      <c r="A16" s="307" t="s">
        <v>508</v>
      </c>
      <c r="B16" s="314">
        <v>0</v>
      </c>
      <c r="C16" s="310">
        <v>-9729.8324743445664</v>
      </c>
      <c r="D16" s="310">
        <v>0</v>
      </c>
      <c r="E16" s="310">
        <v>0</v>
      </c>
      <c r="F16" s="310">
        <v>0</v>
      </c>
      <c r="G16" s="310">
        <v>0</v>
      </c>
      <c r="H16" s="310">
        <v>0</v>
      </c>
      <c r="I16" s="315">
        <v>0</v>
      </c>
      <c r="J16" s="310">
        <v>1350.0552317374299</v>
      </c>
      <c r="K16" s="316">
        <v>-8379.7772426071369</v>
      </c>
      <c r="L16" s="310">
        <v>0</v>
      </c>
      <c r="M16" s="310">
        <v>0</v>
      </c>
      <c r="N16" s="310">
        <v>0</v>
      </c>
      <c r="O16" s="310">
        <v>5971.4496399999998</v>
      </c>
      <c r="P16" s="310">
        <v>0</v>
      </c>
      <c r="Q16" s="310">
        <v>0</v>
      </c>
      <c r="R16" s="310">
        <v>0</v>
      </c>
      <c r="S16" s="310">
        <v>0</v>
      </c>
      <c r="T16" s="310">
        <v>0</v>
      </c>
      <c r="U16" s="310">
        <v>0</v>
      </c>
      <c r="V16" s="310">
        <v>0</v>
      </c>
      <c r="W16" s="310">
        <v>0</v>
      </c>
      <c r="X16" s="310">
        <v>0</v>
      </c>
      <c r="Y16" s="310">
        <v>910.67644355175548</v>
      </c>
      <c r="Z16" s="317">
        <v>0</v>
      </c>
      <c r="AA16" s="316">
        <v>6882.1260835517551</v>
      </c>
      <c r="AB16" s="316">
        <v>-1497.6511590553819</v>
      </c>
    </row>
    <row r="17" spans="1:28">
      <c r="A17" s="307" t="s">
        <v>509</v>
      </c>
      <c r="B17" s="314">
        <v>0</v>
      </c>
      <c r="C17" s="310">
        <v>0</v>
      </c>
      <c r="D17" s="310">
        <v>0</v>
      </c>
      <c r="E17" s="310">
        <v>0</v>
      </c>
      <c r="F17" s="310">
        <v>0</v>
      </c>
      <c r="G17" s="310">
        <v>0</v>
      </c>
      <c r="H17" s="310">
        <v>0</v>
      </c>
      <c r="I17" s="315">
        <v>0</v>
      </c>
      <c r="J17" s="310">
        <v>0</v>
      </c>
      <c r="K17" s="316">
        <v>0</v>
      </c>
      <c r="L17" s="310">
        <v>0</v>
      </c>
      <c r="M17" s="310">
        <v>0</v>
      </c>
      <c r="N17" s="310">
        <v>0</v>
      </c>
      <c r="O17" s="310">
        <v>0</v>
      </c>
      <c r="P17" s="310">
        <v>0</v>
      </c>
      <c r="Q17" s="310">
        <v>0</v>
      </c>
      <c r="R17" s="310">
        <v>0</v>
      </c>
      <c r="S17" s="310">
        <v>0</v>
      </c>
      <c r="T17" s="310">
        <v>0</v>
      </c>
      <c r="U17" s="310">
        <v>0</v>
      </c>
      <c r="V17" s="310">
        <v>0</v>
      </c>
      <c r="W17" s="310">
        <v>0</v>
      </c>
      <c r="X17" s="310">
        <v>0</v>
      </c>
      <c r="Y17" s="310">
        <v>0</v>
      </c>
      <c r="Z17" s="317">
        <v>0</v>
      </c>
      <c r="AA17" s="316">
        <v>0</v>
      </c>
      <c r="AB17" s="316">
        <v>0</v>
      </c>
    </row>
    <row r="18" spans="1:28">
      <c r="A18" s="307" t="s">
        <v>510</v>
      </c>
      <c r="B18" s="314">
        <v>0</v>
      </c>
      <c r="C18" s="310">
        <v>0</v>
      </c>
      <c r="D18" s="310">
        <v>0</v>
      </c>
      <c r="E18" s="310">
        <v>-10829.200030467209</v>
      </c>
      <c r="F18" s="310">
        <v>0</v>
      </c>
      <c r="G18" s="310">
        <v>0</v>
      </c>
      <c r="H18" s="310">
        <v>0</v>
      </c>
      <c r="I18" s="315">
        <v>0</v>
      </c>
      <c r="J18" s="310">
        <v>0</v>
      </c>
      <c r="K18" s="316">
        <v>-10829.200030467209</v>
      </c>
      <c r="L18" s="310">
        <v>0</v>
      </c>
      <c r="M18" s="310">
        <v>0</v>
      </c>
      <c r="N18" s="310">
        <v>0</v>
      </c>
      <c r="O18" s="310">
        <v>0</v>
      </c>
      <c r="P18" s="310">
        <v>0</v>
      </c>
      <c r="Q18" s="310">
        <v>0</v>
      </c>
      <c r="R18" s="310">
        <v>2422.0279027459301</v>
      </c>
      <c r="S18" s="310">
        <v>9268.203409093454</v>
      </c>
      <c r="T18" s="310">
        <v>0</v>
      </c>
      <c r="U18" s="310">
        <v>0</v>
      </c>
      <c r="V18" s="310">
        <v>0</v>
      </c>
      <c r="W18" s="310">
        <v>0</v>
      </c>
      <c r="X18" s="310">
        <v>-1469.4603905367478</v>
      </c>
      <c r="Y18" s="310">
        <v>0</v>
      </c>
      <c r="Z18" s="317">
        <v>337.5623613744205</v>
      </c>
      <c r="AA18" s="316">
        <v>10558.333282677057</v>
      </c>
      <c r="AB18" s="316">
        <v>-270.86674779015266</v>
      </c>
    </row>
    <row r="19" spans="1:28">
      <c r="A19" s="307" t="s">
        <v>511</v>
      </c>
      <c r="B19" s="314">
        <v>0</v>
      </c>
      <c r="C19" s="310">
        <v>0</v>
      </c>
      <c r="D19" s="310">
        <v>0</v>
      </c>
      <c r="E19" s="310">
        <v>0</v>
      </c>
      <c r="F19" s="315">
        <v>-8807.3358006460548</v>
      </c>
      <c r="G19" s="310">
        <v>0</v>
      </c>
      <c r="H19" s="310">
        <v>0</v>
      </c>
      <c r="I19" s="315">
        <v>0</v>
      </c>
      <c r="J19" s="310">
        <v>0</v>
      </c>
      <c r="K19" s="316">
        <v>-8807.3358006460548</v>
      </c>
      <c r="L19" s="310">
        <v>0</v>
      </c>
      <c r="M19" s="310">
        <v>0</v>
      </c>
      <c r="N19" s="310">
        <v>0</v>
      </c>
      <c r="O19" s="310">
        <v>0</v>
      </c>
      <c r="P19" s="310">
        <v>0</v>
      </c>
      <c r="Q19" s="310">
        <v>0</v>
      </c>
      <c r="R19" s="310">
        <v>0</v>
      </c>
      <c r="S19" s="310">
        <v>0</v>
      </c>
      <c r="T19" s="315">
        <v>8675.2257636363647</v>
      </c>
      <c r="U19" s="310">
        <v>0</v>
      </c>
      <c r="V19" s="310">
        <v>0</v>
      </c>
      <c r="W19" s="310">
        <v>0</v>
      </c>
      <c r="X19" s="310">
        <v>0</v>
      </c>
      <c r="Y19" s="310">
        <v>0</v>
      </c>
      <c r="Z19" s="317">
        <v>0</v>
      </c>
      <c r="AA19" s="316">
        <v>8675.2257636363647</v>
      </c>
      <c r="AB19" s="316">
        <v>-132.11003700969013</v>
      </c>
    </row>
    <row r="20" spans="1:28">
      <c r="A20" s="307" t="s">
        <v>512</v>
      </c>
      <c r="B20" s="314">
        <v>0</v>
      </c>
      <c r="C20" s="310">
        <v>-10460.326928751912</v>
      </c>
      <c r="D20" s="310">
        <v>-2208.8600239889997</v>
      </c>
      <c r="E20" s="310">
        <v>0</v>
      </c>
      <c r="F20" s="310">
        <v>0</v>
      </c>
      <c r="G20" s="310">
        <v>-42135.663364</v>
      </c>
      <c r="H20" s="310">
        <v>0</v>
      </c>
      <c r="I20" s="315">
        <v>-7671.5732824993393</v>
      </c>
      <c r="J20" s="310">
        <v>-11809.568876912634</v>
      </c>
      <c r="K20" s="316">
        <v>-74285.992476152882</v>
      </c>
      <c r="L20" s="310">
        <v>-1874.2102389329225</v>
      </c>
      <c r="M20" s="310">
        <v>0</v>
      </c>
      <c r="N20" s="310">
        <v>0</v>
      </c>
      <c r="O20" s="310">
        <v>0</v>
      </c>
      <c r="P20" s="310">
        <v>0</v>
      </c>
      <c r="Q20" s="310">
        <v>0</v>
      </c>
      <c r="R20" s="310">
        <v>0</v>
      </c>
      <c r="S20" s="310">
        <v>0</v>
      </c>
      <c r="T20" s="315">
        <v>-8675.2257636363647</v>
      </c>
      <c r="U20" s="310">
        <v>68121.789717578926</v>
      </c>
      <c r="V20" s="310">
        <v>0</v>
      </c>
      <c r="W20" s="310">
        <v>0</v>
      </c>
      <c r="X20" s="310">
        <v>0</v>
      </c>
      <c r="Y20" s="310">
        <v>0</v>
      </c>
      <c r="Z20" s="317">
        <v>0</v>
      </c>
      <c r="AA20" s="316">
        <v>57572.353715009638</v>
      </c>
      <c r="AB20" s="316">
        <v>-16713.638761143244</v>
      </c>
    </row>
    <row r="21" spans="1:28">
      <c r="A21" s="307" t="s">
        <v>513</v>
      </c>
      <c r="B21" s="314">
        <v>0</v>
      </c>
      <c r="C21" s="310">
        <v>-4712.0444461226525</v>
      </c>
      <c r="D21" s="310">
        <v>-305.51211368659381</v>
      </c>
      <c r="E21" s="310">
        <v>0</v>
      </c>
      <c r="F21" s="310">
        <v>0</v>
      </c>
      <c r="G21" s="310">
        <v>-438.71313367332056</v>
      </c>
      <c r="H21" s="310">
        <v>-555.78565002097423</v>
      </c>
      <c r="I21" s="315">
        <v>-3166.2939079218572</v>
      </c>
      <c r="J21" s="310">
        <v>-11647.989506177915</v>
      </c>
      <c r="K21" s="316">
        <v>-20826.338757603313</v>
      </c>
      <c r="L21" s="310">
        <v>-426.17292995491357</v>
      </c>
      <c r="M21" s="310">
        <v>-291.54369873277398</v>
      </c>
      <c r="N21" s="310">
        <v>0</v>
      </c>
      <c r="O21" s="310">
        <v>0</v>
      </c>
      <c r="P21" s="310">
        <v>0</v>
      </c>
      <c r="Q21" s="310">
        <v>0</v>
      </c>
      <c r="R21" s="310">
        <v>-735.3612584546313</v>
      </c>
      <c r="S21" s="310">
        <v>0</v>
      </c>
      <c r="T21" s="310">
        <v>0</v>
      </c>
      <c r="U21" s="310">
        <v>12148.101203682261</v>
      </c>
      <c r="V21" s="310">
        <v>0</v>
      </c>
      <c r="W21" s="310">
        <v>0</v>
      </c>
      <c r="X21" s="310">
        <v>-627.57102629927886</v>
      </c>
      <c r="Y21" s="310">
        <v>0</v>
      </c>
      <c r="Z21" s="317">
        <v>-11.851439746601118</v>
      </c>
      <c r="AA21" s="316">
        <v>10055.600850494064</v>
      </c>
      <c r="AB21" s="316">
        <v>-10770.737907109249</v>
      </c>
    </row>
    <row r="22" spans="1:28">
      <c r="A22" s="307" t="s">
        <v>514</v>
      </c>
      <c r="B22" s="314">
        <v>0</v>
      </c>
      <c r="C22" s="310">
        <v>0</v>
      </c>
      <c r="D22" s="310">
        <v>0</v>
      </c>
      <c r="E22" s="310">
        <v>0</v>
      </c>
      <c r="F22" s="310">
        <v>0</v>
      </c>
      <c r="G22" s="310">
        <v>0</v>
      </c>
      <c r="H22" s="310">
        <v>-9515.9586107350406</v>
      </c>
      <c r="I22" s="315">
        <v>0</v>
      </c>
      <c r="J22" s="310">
        <v>0</v>
      </c>
      <c r="K22" s="316">
        <v>-9515.9586107350406</v>
      </c>
      <c r="L22" s="310">
        <v>0</v>
      </c>
      <c r="M22" s="310">
        <v>0</v>
      </c>
      <c r="N22" s="310">
        <v>0</v>
      </c>
      <c r="O22" s="310">
        <v>0</v>
      </c>
      <c r="P22" s="310">
        <v>0</v>
      </c>
      <c r="Q22" s="310">
        <v>0</v>
      </c>
      <c r="R22" s="310">
        <v>0</v>
      </c>
      <c r="S22" s="310">
        <v>0</v>
      </c>
      <c r="T22" s="310">
        <v>0</v>
      </c>
      <c r="U22" s="310">
        <v>0</v>
      </c>
      <c r="V22" s="310">
        <v>5072.0059395217768</v>
      </c>
      <c r="W22" s="310">
        <v>0</v>
      </c>
      <c r="X22" s="310">
        <v>0</v>
      </c>
      <c r="Y22" s="310">
        <v>0</v>
      </c>
      <c r="Z22" s="317">
        <v>0</v>
      </c>
      <c r="AA22" s="316">
        <v>5072.0059395217768</v>
      </c>
      <c r="AB22" s="316">
        <v>-4443.9526712132638</v>
      </c>
    </row>
    <row r="23" spans="1:28">
      <c r="A23" s="307" t="s">
        <v>515</v>
      </c>
      <c r="B23" s="314">
        <v>0</v>
      </c>
      <c r="C23" s="310">
        <v>0</v>
      </c>
      <c r="D23" s="310">
        <v>0</v>
      </c>
      <c r="E23" s="310">
        <v>0</v>
      </c>
      <c r="F23" s="310">
        <v>0</v>
      </c>
      <c r="G23" s="310">
        <v>0</v>
      </c>
      <c r="H23" s="310">
        <v>0</v>
      </c>
      <c r="I23" s="315">
        <v>-19168.17893367666</v>
      </c>
      <c r="J23" s="310">
        <v>0</v>
      </c>
      <c r="K23" s="316">
        <v>-19168.17893367666</v>
      </c>
      <c r="L23" s="310">
        <v>0</v>
      </c>
      <c r="M23" s="310">
        <v>0</v>
      </c>
      <c r="N23" s="310">
        <v>0</v>
      </c>
      <c r="O23" s="310">
        <v>0</v>
      </c>
      <c r="P23" s="310">
        <v>0</v>
      </c>
      <c r="Q23" s="310">
        <v>0</v>
      </c>
      <c r="R23" s="310">
        <v>0</v>
      </c>
      <c r="S23" s="310">
        <v>0</v>
      </c>
      <c r="T23" s="310">
        <v>0</v>
      </c>
      <c r="U23" s="310">
        <v>0</v>
      </c>
      <c r="V23" s="310">
        <v>0</v>
      </c>
      <c r="W23" s="310">
        <v>19035.774859265315</v>
      </c>
      <c r="X23" s="310">
        <v>0</v>
      </c>
      <c r="Y23" s="310">
        <v>0</v>
      </c>
      <c r="Z23" s="317">
        <v>0</v>
      </c>
      <c r="AA23" s="316">
        <v>19035.774859265315</v>
      </c>
      <c r="AB23" s="316">
        <v>-132.40407441134448</v>
      </c>
    </row>
    <row r="24" spans="1:28">
      <c r="A24" s="334" t="s">
        <v>516</v>
      </c>
      <c r="B24" s="335">
        <v>0</v>
      </c>
      <c r="C24" s="328">
        <v>-558.17306907704665</v>
      </c>
      <c r="D24" s="328">
        <v>0</v>
      </c>
      <c r="E24" s="328">
        <v>0</v>
      </c>
      <c r="F24" s="328">
        <v>0</v>
      </c>
      <c r="G24" s="328">
        <v>0</v>
      </c>
      <c r="H24" s="328">
        <v>0</v>
      </c>
      <c r="I24" s="336">
        <v>0</v>
      </c>
      <c r="J24" s="328">
        <v>-12781.116884770227</v>
      </c>
      <c r="K24" s="337">
        <v>-13339.289953847274</v>
      </c>
      <c r="L24" s="338">
        <v>9106.7437867640019</v>
      </c>
      <c r="M24" s="328">
        <v>0</v>
      </c>
      <c r="N24" s="328">
        <v>969.62250000000006</v>
      </c>
      <c r="O24" s="328">
        <v>100.35674999999999</v>
      </c>
      <c r="P24" s="328">
        <v>-3369.8371190873431</v>
      </c>
      <c r="Q24" s="336">
        <v>0</v>
      </c>
      <c r="R24" s="328">
        <v>0</v>
      </c>
      <c r="S24" s="328">
        <v>0</v>
      </c>
      <c r="T24" s="328">
        <v>0</v>
      </c>
      <c r="U24" s="328">
        <v>0</v>
      </c>
      <c r="V24" s="328">
        <v>0</v>
      </c>
      <c r="W24" s="328">
        <v>4397.7292298317861</v>
      </c>
      <c r="X24" s="328">
        <v>1848.4948118819723</v>
      </c>
      <c r="Y24" s="328">
        <v>0</v>
      </c>
      <c r="Z24" s="329">
        <v>0</v>
      </c>
      <c r="AA24" s="337">
        <v>13053.109959390416</v>
      </c>
      <c r="AB24" s="337">
        <v>-286.17999445685746</v>
      </c>
    </row>
    <row r="25" spans="1:28" ht="13.9" thickBot="1">
      <c r="A25" s="318" t="s">
        <v>517</v>
      </c>
      <c r="B25" s="319">
        <v>0</v>
      </c>
      <c r="C25" s="319">
        <v>0</v>
      </c>
      <c r="D25" s="319">
        <v>0</v>
      </c>
      <c r="E25" s="319">
        <v>0</v>
      </c>
      <c r="F25" s="319">
        <v>0</v>
      </c>
      <c r="G25" s="319">
        <v>0</v>
      </c>
      <c r="H25" s="319">
        <v>0</v>
      </c>
      <c r="I25" s="319">
        <v>0</v>
      </c>
      <c r="J25" s="319">
        <v>0</v>
      </c>
      <c r="K25" s="320">
        <v>0</v>
      </c>
      <c r="L25" s="319">
        <v>0</v>
      </c>
      <c r="M25" s="319">
        <v>0</v>
      </c>
      <c r="N25" s="319">
        <v>0</v>
      </c>
      <c r="O25" s="319">
        <v>0</v>
      </c>
      <c r="P25" s="319">
        <v>0</v>
      </c>
      <c r="Q25" s="319">
        <v>0</v>
      </c>
      <c r="R25" s="319">
        <v>0</v>
      </c>
      <c r="S25" s="319">
        <v>0</v>
      </c>
      <c r="T25" s="319">
        <v>0</v>
      </c>
      <c r="U25" s="319">
        <v>-13183.004742335947</v>
      </c>
      <c r="V25" s="319">
        <v>0</v>
      </c>
      <c r="W25" s="319">
        <v>0</v>
      </c>
      <c r="X25" s="319">
        <v>0</v>
      </c>
      <c r="Y25" s="319">
        <v>0</v>
      </c>
      <c r="Z25" s="322">
        <v>0</v>
      </c>
      <c r="AA25" s="320">
        <v>-13183.004742335947</v>
      </c>
      <c r="AB25" s="320">
        <v>-13183.004742335947</v>
      </c>
    </row>
    <row r="26" spans="1:28">
      <c r="A26" s="323" t="s">
        <v>518</v>
      </c>
      <c r="B26" s="324">
        <v>0</v>
      </c>
      <c r="C26" s="325">
        <v>29401.168478069394</v>
      </c>
      <c r="D26" s="325">
        <v>4569.0617957649747</v>
      </c>
      <c r="E26" s="325">
        <v>0</v>
      </c>
      <c r="F26" s="339">
        <v>0</v>
      </c>
      <c r="G26" s="339">
        <v>0</v>
      </c>
      <c r="H26" s="325">
        <v>17739.363702267809</v>
      </c>
      <c r="I26" s="325">
        <v>36242.729358931989</v>
      </c>
      <c r="J26" s="325">
        <v>11554.068482480012</v>
      </c>
      <c r="K26" s="327">
        <v>99506.391817514173</v>
      </c>
      <c r="L26" s="325">
        <v>64748.681564602317</v>
      </c>
      <c r="M26" s="325">
        <v>2401.8091140329134</v>
      </c>
      <c r="N26" s="325">
        <v>21063.122752293999</v>
      </c>
      <c r="O26" s="325">
        <v>9653.8508032453919</v>
      </c>
      <c r="P26" s="325">
        <v>5350.0049002103106</v>
      </c>
      <c r="Q26" s="325">
        <v>5052.8236161659615</v>
      </c>
      <c r="R26" s="328">
        <v>1686.6666442912988</v>
      </c>
      <c r="S26" s="328">
        <v>10419.224915624893</v>
      </c>
      <c r="T26" s="328">
        <v>0</v>
      </c>
      <c r="U26" s="328">
        <v>68099.746053325245</v>
      </c>
      <c r="V26" s="328">
        <v>5072.0059395217768</v>
      </c>
      <c r="W26" s="328">
        <v>22792.598120957849</v>
      </c>
      <c r="X26" s="328">
        <v>9836.305161036551</v>
      </c>
      <c r="Y26" s="326">
        <v>7108.593017191567</v>
      </c>
      <c r="Z26" s="329">
        <v>325.7109216278194</v>
      </c>
      <c r="AA26" s="327">
        <v>233611.1435241279</v>
      </c>
      <c r="AB26" s="327">
        <v>333117.5353416421</v>
      </c>
    </row>
    <row r="27" spans="1:28">
      <c r="A27" s="307" t="s">
        <v>519</v>
      </c>
      <c r="B27" s="340">
        <v>0</v>
      </c>
      <c r="C27" s="310">
        <v>2941.34625747256</v>
      </c>
      <c r="D27" s="310">
        <v>0</v>
      </c>
      <c r="E27" s="310">
        <v>0</v>
      </c>
      <c r="F27" s="341">
        <v>0</v>
      </c>
      <c r="G27" s="341">
        <v>0</v>
      </c>
      <c r="H27" s="310">
        <v>0</v>
      </c>
      <c r="I27" s="310">
        <v>0</v>
      </c>
      <c r="J27" s="310">
        <v>0</v>
      </c>
      <c r="K27" s="316">
        <v>2941.34625747256</v>
      </c>
      <c r="L27" s="310">
        <v>0</v>
      </c>
      <c r="M27" s="310">
        <v>0</v>
      </c>
      <c r="N27" s="310">
        <v>0</v>
      </c>
      <c r="O27" s="310">
        <v>0</v>
      </c>
      <c r="P27" s="310">
        <v>5350.0049002103106</v>
      </c>
      <c r="Q27" s="310">
        <v>1.8154691999999997</v>
      </c>
      <c r="R27" s="310">
        <v>0</v>
      </c>
      <c r="S27" s="310">
        <v>0</v>
      </c>
      <c r="T27" s="310">
        <v>0</v>
      </c>
      <c r="U27" s="310">
        <v>0</v>
      </c>
      <c r="V27" s="310">
        <v>0</v>
      </c>
      <c r="W27" s="310">
        <v>610.59176894507812</v>
      </c>
      <c r="X27" s="310">
        <v>0</v>
      </c>
      <c r="Y27" s="310">
        <v>7108.593017191567</v>
      </c>
      <c r="Z27" s="317">
        <v>206.17160230958618</v>
      </c>
      <c r="AA27" s="316">
        <v>13277.176757856541</v>
      </c>
      <c r="AB27" s="316">
        <v>16218.523015329101</v>
      </c>
    </row>
    <row r="28" spans="1:28">
      <c r="A28" s="342" t="s">
        <v>520</v>
      </c>
      <c r="B28" s="343">
        <v>0</v>
      </c>
      <c r="C28" s="315">
        <v>26459.822220596834</v>
      </c>
      <c r="D28" s="315">
        <v>4569.0617957649747</v>
      </c>
      <c r="E28" s="315">
        <v>0</v>
      </c>
      <c r="F28" s="315">
        <v>0</v>
      </c>
      <c r="G28" s="315">
        <v>0</v>
      </c>
      <c r="H28" s="315">
        <v>17739.363702267809</v>
      </c>
      <c r="I28" s="315">
        <v>36242.729358931989</v>
      </c>
      <c r="J28" s="315">
        <v>11554.068482480012</v>
      </c>
      <c r="K28" s="316">
        <v>96565.045560041617</v>
      </c>
      <c r="L28" s="315">
        <v>64748.681564602317</v>
      </c>
      <c r="M28" s="315">
        <v>2401.8091140329134</v>
      </c>
      <c r="N28" s="310">
        <v>21063.122752293999</v>
      </c>
      <c r="O28" s="315">
        <v>9653.8508032453919</v>
      </c>
      <c r="P28" s="315">
        <v>0</v>
      </c>
      <c r="Q28" s="310">
        <v>5051.0081469659617</v>
      </c>
      <c r="R28" s="315">
        <v>1686.6666442912988</v>
      </c>
      <c r="S28" s="315">
        <v>10419.224915624893</v>
      </c>
      <c r="T28" s="315">
        <v>0</v>
      </c>
      <c r="U28" s="315">
        <v>68099.746053325245</v>
      </c>
      <c r="V28" s="315">
        <v>5072.0059395217768</v>
      </c>
      <c r="W28" s="315">
        <v>22182.00635201277</v>
      </c>
      <c r="X28" s="315">
        <v>9836.305161036551</v>
      </c>
      <c r="Y28" s="315">
        <v>0</v>
      </c>
      <c r="Z28" s="317">
        <v>119.53931931823325</v>
      </c>
      <c r="AA28" s="316">
        <v>220333.96676627133</v>
      </c>
      <c r="AB28" s="316">
        <v>316899.01232631295</v>
      </c>
    </row>
    <row r="29" spans="1:28">
      <c r="A29" s="342" t="s">
        <v>521</v>
      </c>
      <c r="B29" s="343">
        <v>0</v>
      </c>
      <c r="C29" s="315">
        <v>12053.97484244545</v>
      </c>
      <c r="D29" s="315">
        <v>0</v>
      </c>
      <c r="E29" s="315">
        <v>0</v>
      </c>
      <c r="F29" s="315">
        <v>0</v>
      </c>
      <c r="G29" s="315">
        <v>0</v>
      </c>
      <c r="H29" s="315">
        <v>0</v>
      </c>
      <c r="I29" s="315">
        <v>17429.107832111884</v>
      </c>
      <c r="J29" s="315">
        <v>0</v>
      </c>
      <c r="K29" s="316">
        <v>29483.082674557336</v>
      </c>
      <c r="L29" s="310">
        <v>1445.289656042931</v>
      </c>
      <c r="M29" s="310">
        <v>193.7164342575503</v>
      </c>
      <c r="N29" s="310">
        <v>0</v>
      </c>
      <c r="O29" s="310">
        <v>0</v>
      </c>
      <c r="P29" s="310">
        <v>0</v>
      </c>
      <c r="Q29" s="310">
        <v>0</v>
      </c>
      <c r="R29" s="315">
        <v>119.2332121774008</v>
      </c>
      <c r="S29" s="315">
        <v>0</v>
      </c>
      <c r="T29" s="315">
        <v>0</v>
      </c>
      <c r="U29" s="315">
        <v>3841.5369534183237</v>
      </c>
      <c r="V29" s="315">
        <v>0</v>
      </c>
      <c r="W29" s="315">
        <v>0</v>
      </c>
      <c r="X29" s="315">
        <v>3213.5360938692015</v>
      </c>
      <c r="Y29" s="315">
        <v>0</v>
      </c>
      <c r="Z29" s="317">
        <v>0</v>
      </c>
      <c r="AA29" s="316">
        <v>8813.3123497654069</v>
      </c>
      <c r="AB29" s="316">
        <v>38296.395024322745</v>
      </c>
    </row>
    <row r="30" spans="1:28">
      <c r="A30" s="342" t="s">
        <v>522</v>
      </c>
      <c r="B30" s="343">
        <v>0</v>
      </c>
      <c r="C30" s="315">
        <v>703.96552354562948</v>
      </c>
      <c r="D30" s="315">
        <v>0</v>
      </c>
      <c r="E30" s="315">
        <v>0</v>
      </c>
      <c r="F30" s="315">
        <v>0</v>
      </c>
      <c r="G30" s="315">
        <v>0</v>
      </c>
      <c r="H30" s="315">
        <v>5375.6549630341624</v>
      </c>
      <c r="I30" s="315">
        <v>0</v>
      </c>
      <c r="J30" s="315">
        <v>0</v>
      </c>
      <c r="K30" s="316">
        <v>6079.6204865797918</v>
      </c>
      <c r="L30" s="310">
        <v>0</v>
      </c>
      <c r="M30" s="310">
        <v>0</v>
      </c>
      <c r="N30" s="310">
        <v>0</v>
      </c>
      <c r="O30" s="310">
        <v>7583.9670156210004</v>
      </c>
      <c r="P30" s="310">
        <v>0</v>
      </c>
      <c r="Q30" s="310">
        <v>0</v>
      </c>
      <c r="R30" s="315">
        <v>0</v>
      </c>
      <c r="S30" s="315">
        <v>0</v>
      </c>
      <c r="T30" s="315">
        <v>0</v>
      </c>
      <c r="U30" s="315">
        <v>17888.580348052961</v>
      </c>
      <c r="V30" s="315">
        <v>270.73409820692365</v>
      </c>
      <c r="W30" s="315">
        <v>0</v>
      </c>
      <c r="X30" s="315">
        <v>0</v>
      </c>
      <c r="Y30" s="315">
        <v>0</v>
      </c>
      <c r="Z30" s="317">
        <v>0</v>
      </c>
      <c r="AA30" s="316">
        <v>25743.281461880888</v>
      </c>
      <c r="AB30" s="316">
        <v>31822.90194846068</v>
      </c>
    </row>
    <row r="31" spans="1:28">
      <c r="A31" s="342" t="s">
        <v>523</v>
      </c>
      <c r="B31" s="343">
        <v>0</v>
      </c>
      <c r="C31" s="315">
        <v>117.03516962469871</v>
      </c>
      <c r="D31" s="315">
        <v>0</v>
      </c>
      <c r="E31" s="315">
        <v>0</v>
      </c>
      <c r="F31" s="315">
        <v>0</v>
      </c>
      <c r="G31" s="315">
        <v>0</v>
      </c>
      <c r="H31" s="315">
        <v>100.16905577279505</v>
      </c>
      <c r="I31" s="315">
        <v>0</v>
      </c>
      <c r="J31" s="315">
        <v>0</v>
      </c>
      <c r="K31" s="316">
        <v>217.20422539749376</v>
      </c>
      <c r="L31" s="310">
        <v>41.359227998565387</v>
      </c>
      <c r="M31" s="310">
        <v>13.057699459033376</v>
      </c>
      <c r="N31" s="310">
        <v>0</v>
      </c>
      <c r="O31" s="310">
        <v>435.46168742137132</v>
      </c>
      <c r="P31" s="310">
        <v>0</v>
      </c>
      <c r="Q31" s="310">
        <v>0</v>
      </c>
      <c r="R31" s="315">
        <v>0</v>
      </c>
      <c r="S31" s="315">
        <v>0</v>
      </c>
      <c r="T31" s="315">
        <v>0</v>
      </c>
      <c r="U31" s="315">
        <v>12326.425346041911</v>
      </c>
      <c r="V31" s="315">
        <v>94.051797791704288</v>
      </c>
      <c r="W31" s="315">
        <v>0</v>
      </c>
      <c r="X31" s="315">
        <v>0</v>
      </c>
      <c r="Y31" s="315">
        <v>0</v>
      </c>
      <c r="Z31" s="317">
        <v>0</v>
      </c>
      <c r="AA31" s="316">
        <v>12910.355758712585</v>
      </c>
      <c r="AB31" s="316">
        <v>13127.559984110079</v>
      </c>
    </row>
    <row r="32" spans="1:28">
      <c r="A32" s="342" t="s">
        <v>524</v>
      </c>
      <c r="B32" s="343">
        <v>0</v>
      </c>
      <c r="C32" s="315">
        <v>25.910740921718119</v>
      </c>
      <c r="D32" s="315">
        <v>0</v>
      </c>
      <c r="E32" s="315">
        <v>0</v>
      </c>
      <c r="F32" s="315">
        <v>0</v>
      </c>
      <c r="G32" s="315">
        <v>0</v>
      </c>
      <c r="H32" s="315">
        <v>0</v>
      </c>
      <c r="I32" s="315">
        <v>0</v>
      </c>
      <c r="J32" s="315">
        <v>0</v>
      </c>
      <c r="K32" s="316">
        <v>25.910740921718119</v>
      </c>
      <c r="L32" s="310">
        <v>5.6190287399570433</v>
      </c>
      <c r="M32" s="310">
        <v>8.2803947476779918</v>
      </c>
      <c r="N32" s="310">
        <v>0</v>
      </c>
      <c r="O32" s="310">
        <v>329.82992655151389</v>
      </c>
      <c r="P32" s="310">
        <v>0</v>
      </c>
      <c r="Q32" s="310">
        <v>0</v>
      </c>
      <c r="R32" s="315">
        <v>0</v>
      </c>
      <c r="S32" s="315">
        <v>0</v>
      </c>
      <c r="T32" s="315">
        <v>0</v>
      </c>
      <c r="U32" s="315">
        <v>5457.5450824651971</v>
      </c>
      <c r="V32" s="315">
        <v>0</v>
      </c>
      <c r="W32" s="315">
        <v>0</v>
      </c>
      <c r="X32" s="315">
        <v>0</v>
      </c>
      <c r="Y32" s="315">
        <v>0</v>
      </c>
      <c r="Z32" s="317">
        <v>0</v>
      </c>
      <c r="AA32" s="316">
        <v>5801.2744325043459</v>
      </c>
      <c r="AB32" s="316">
        <v>5827.1851734260645</v>
      </c>
    </row>
    <row r="33" spans="1:28">
      <c r="A33" s="342" t="s">
        <v>525</v>
      </c>
      <c r="B33" s="343">
        <v>0</v>
      </c>
      <c r="C33" s="315">
        <v>0</v>
      </c>
      <c r="D33" s="315">
        <v>0</v>
      </c>
      <c r="E33" s="315">
        <v>0</v>
      </c>
      <c r="F33" s="315">
        <v>0</v>
      </c>
      <c r="G33" s="315">
        <v>0</v>
      </c>
      <c r="H33" s="315">
        <v>3496.7182651263029</v>
      </c>
      <c r="I33" s="315">
        <v>0</v>
      </c>
      <c r="J33" s="315">
        <v>0</v>
      </c>
      <c r="K33" s="316">
        <v>3496.7182651263029</v>
      </c>
      <c r="L33" s="310">
        <v>8331.5897656185098</v>
      </c>
      <c r="M33" s="310">
        <v>10.828092146499953</v>
      </c>
      <c r="N33" s="310">
        <v>0</v>
      </c>
      <c r="O33" s="310">
        <v>24.392481031738594</v>
      </c>
      <c r="P33" s="310">
        <v>0</v>
      </c>
      <c r="Q33" s="310">
        <v>0</v>
      </c>
      <c r="R33" s="315">
        <v>0</v>
      </c>
      <c r="S33" s="315">
        <v>0</v>
      </c>
      <c r="T33" s="315">
        <v>0</v>
      </c>
      <c r="U33" s="315">
        <v>3301.4139617138003</v>
      </c>
      <c r="V33" s="315">
        <v>9.753979194271885</v>
      </c>
      <c r="W33" s="315">
        <v>9.1340327567680077</v>
      </c>
      <c r="X33" s="315">
        <v>0</v>
      </c>
      <c r="Y33" s="315">
        <v>0</v>
      </c>
      <c r="Z33" s="317">
        <v>0</v>
      </c>
      <c r="AA33" s="316">
        <v>11687.11231246159</v>
      </c>
      <c r="AB33" s="316">
        <v>15183.830577587893</v>
      </c>
    </row>
    <row r="34" spans="1:28">
      <c r="A34" s="342" t="s">
        <v>526</v>
      </c>
      <c r="B34" s="343">
        <v>0</v>
      </c>
      <c r="C34" s="315">
        <v>2323.9084611417911</v>
      </c>
      <c r="D34" s="315">
        <v>0</v>
      </c>
      <c r="E34" s="315">
        <v>0</v>
      </c>
      <c r="F34" s="315">
        <v>0</v>
      </c>
      <c r="G34" s="315">
        <v>0</v>
      </c>
      <c r="H34" s="315">
        <v>0</v>
      </c>
      <c r="I34" s="315">
        <v>0</v>
      </c>
      <c r="J34" s="315">
        <v>49.319999999999979</v>
      </c>
      <c r="K34" s="316">
        <v>2373.2284611417913</v>
      </c>
      <c r="L34" s="310">
        <v>53582.190861851603</v>
      </c>
      <c r="M34" s="310">
        <v>1082.029831674</v>
      </c>
      <c r="N34" s="310">
        <v>21063.122752293999</v>
      </c>
      <c r="O34" s="310">
        <v>0</v>
      </c>
      <c r="P34" s="310">
        <v>0</v>
      </c>
      <c r="Q34" s="310">
        <v>5049.6457176419999</v>
      </c>
      <c r="R34" s="315">
        <v>0</v>
      </c>
      <c r="S34" s="315">
        <v>0</v>
      </c>
      <c r="T34" s="315">
        <v>0</v>
      </c>
      <c r="U34" s="315">
        <v>296.7505483678579</v>
      </c>
      <c r="V34" s="315">
        <v>0</v>
      </c>
      <c r="W34" s="315">
        <v>22172.872319256003</v>
      </c>
      <c r="X34" s="315">
        <v>0</v>
      </c>
      <c r="Y34" s="315">
        <v>0</v>
      </c>
      <c r="Z34" s="317">
        <v>0</v>
      </c>
      <c r="AA34" s="316">
        <v>103246.61203108545</v>
      </c>
      <c r="AB34" s="316">
        <v>105619.84049222723</v>
      </c>
    </row>
    <row r="35" spans="1:28" ht="13.9" thickBot="1">
      <c r="A35" s="344" t="s">
        <v>527</v>
      </c>
      <c r="B35" s="343">
        <v>0</v>
      </c>
      <c r="C35" s="315">
        <v>11235.027482917549</v>
      </c>
      <c r="D35" s="315">
        <v>4569.0617957649747</v>
      </c>
      <c r="E35" s="315">
        <v>0</v>
      </c>
      <c r="F35" s="315">
        <v>0</v>
      </c>
      <c r="G35" s="315">
        <v>0</v>
      </c>
      <c r="H35" s="315">
        <v>8766.8214183345499</v>
      </c>
      <c r="I35" s="315">
        <v>18813.621526820109</v>
      </c>
      <c r="J35" s="315">
        <v>11504.748482480012</v>
      </c>
      <c r="K35" s="316">
        <v>54889.2807063172</v>
      </c>
      <c r="L35" s="315">
        <v>1342.6330243507568</v>
      </c>
      <c r="M35" s="315">
        <v>1093.8966617481517</v>
      </c>
      <c r="N35" s="310">
        <v>0</v>
      </c>
      <c r="O35" s="315">
        <v>1280.1996926197685</v>
      </c>
      <c r="P35" s="315">
        <v>0</v>
      </c>
      <c r="Q35" s="310">
        <v>1.3624293239620726</v>
      </c>
      <c r="R35" s="315">
        <v>1567.4334321138979</v>
      </c>
      <c r="S35" s="315">
        <v>10419.224915624893</v>
      </c>
      <c r="T35" s="315">
        <v>0</v>
      </c>
      <c r="U35" s="315">
        <v>24987.493813265188</v>
      </c>
      <c r="V35" s="315">
        <v>4697.4660643288771</v>
      </c>
      <c r="W35" s="315">
        <v>0</v>
      </c>
      <c r="X35" s="315">
        <v>6622.769067167349</v>
      </c>
      <c r="Y35" s="315">
        <v>0</v>
      </c>
      <c r="Z35" s="317">
        <v>119.53931931823325</v>
      </c>
      <c r="AA35" s="316">
        <v>52132.018419861073</v>
      </c>
      <c r="AB35" s="316">
        <v>107021.29912617827</v>
      </c>
    </row>
    <row r="36" spans="1:28" ht="13.9" thickBot="1">
      <c r="A36" s="345" t="s">
        <v>528</v>
      </c>
      <c r="B36" s="346">
        <v>0</v>
      </c>
      <c r="C36" s="346">
        <v>14.791544744316747</v>
      </c>
      <c r="D36" s="346">
        <v>81.394494822347028</v>
      </c>
      <c r="E36" s="346">
        <v>0</v>
      </c>
      <c r="F36" s="346">
        <v>0</v>
      </c>
      <c r="G36" s="346">
        <v>0</v>
      </c>
      <c r="H36" s="346">
        <v>81.262996965783202</v>
      </c>
      <c r="I36" s="346">
        <v>0</v>
      </c>
      <c r="J36" s="346">
        <v>847.754312502316</v>
      </c>
      <c r="K36" s="347">
        <v>1025.2033490347631</v>
      </c>
      <c r="L36" s="348">
        <v>12.559847825075222</v>
      </c>
      <c r="M36" s="346">
        <v>9.5422769541920687</v>
      </c>
      <c r="N36" s="346">
        <v>0</v>
      </c>
      <c r="O36" s="346">
        <v>18.624424668663625</v>
      </c>
      <c r="P36" s="346">
        <v>0</v>
      </c>
      <c r="Q36" s="346">
        <v>0</v>
      </c>
      <c r="R36" s="346">
        <v>0</v>
      </c>
      <c r="S36" s="346">
        <v>62.053145364496707</v>
      </c>
      <c r="T36" s="346">
        <v>0</v>
      </c>
      <c r="U36" s="346">
        <v>711.17581673260031</v>
      </c>
      <c r="V36" s="346">
        <v>126.37346993299806</v>
      </c>
      <c r="W36" s="346">
        <v>0</v>
      </c>
      <c r="X36" s="346">
        <v>3078.2694750013902</v>
      </c>
      <c r="Y36" s="346">
        <v>0</v>
      </c>
      <c r="Z36" s="346">
        <v>0</v>
      </c>
      <c r="AA36" s="347">
        <v>4018.5984564794162</v>
      </c>
      <c r="AB36" s="347">
        <v>5043.8018055141793</v>
      </c>
    </row>
  </sheetData>
  <mergeCells count="2">
    <mergeCell ref="B4:K4"/>
    <mergeCell ref="L4:AA4"/>
  </mergeCells>
  <hyperlinks>
    <hyperlink ref="A1" location="'Sumário Cap.XI'!A1" display="Voltar para Sumário" xr:uid="{C39978EB-ABF2-49D8-91BF-2DFC55374418}"/>
  </hyperlink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13"/>
  <sheetViews>
    <sheetView showGridLines="0" workbookViewId="0">
      <selection activeCell="B6" sqref="B6"/>
    </sheetView>
  </sheetViews>
  <sheetFormatPr defaultRowHeight="13.15"/>
  <cols>
    <col min="1" max="1" width="23.42578125" bestFit="1" customWidth="1"/>
    <col min="2" max="2" width="10.28515625" customWidth="1"/>
    <col min="5" max="5" width="11" style="246" customWidth="1"/>
    <col min="6" max="6" width="12" style="246" bestFit="1" customWidth="1"/>
    <col min="8" max="9" width="11.5703125" customWidth="1"/>
  </cols>
  <sheetData>
    <row r="1" spans="1:9" ht="12.75" customHeight="1">
      <c r="A1" s="591" t="s">
        <v>22</v>
      </c>
    </row>
    <row r="2" spans="1:9">
      <c r="A2" s="248" t="s">
        <v>42</v>
      </c>
      <c r="E2" s="602"/>
      <c r="F2" s="602"/>
      <c r="H2" s="602"/>
      <c r="I2" s="602"/>
    </row>
    <row r="3" spans="1:9">
      <c r="H3" s="246"/>
      <c r="I3" s="246"/>
    </row>
    <row r="4" spans="1:9" ht="13.9" thickBot="1">
      <c r="A4" s="349" t="s">
        <v>43</v>
      </c>
      <c r="B4" s="249"/>
      <c r="F4" s="247"/>
      <c r="H4" s="246"/>
      <c r="I4" s="247"/>
    </row>
    <row r="5" spans="1:9" ht="13.9">
      <c r="A5" s="603" t="s">
        <v>44</v>
      </c>
      <c r="B5" s="604"/>
      <c r="F5" s="247"/>
      <c r="H5" s="246"/>
      <c r="I5" s="247"/>
    </row>
    <row r="6" spans="1:9">
      <c r="A6" s="498" t="s">
        <v>45</v>
      </c>
      <c r="B6" s="542">
        <v>1.8889079999999998</v>
      </c>
      <c r="F6" s="247"/>
      <c r="H6" s="246"/>
      <c r="I6" s="247"/>
    </row>
    <row r="7" spans="1:9">
      <c r="A7" s="498" t="s">
        <v>46</v>
      </c>
      <c r="B7" s="542">
        <v>2.419044</v>
      </c>
      <c r="F7" s="247"/>
      <c r="H7" s="246"/>
      <c r="I7" s="247"/>
    </row>
    <row r="8" spans="1:9">
      <c r="A8" s="498" t="s">
        <v>47</v>
      </c>
      <c r="B8" s="542">
        <v>6.1586519999999982</v>
      </c>
      <c r="F8" s="247"/>
      <c r="H8" s="246"/>
      <c r="I8" s="247"/>
    </row>
    <row r="9" spans="1:9">
      <c r="A9" s="498" t="s">
        <v>48</v>
      </c>
      <c r="B9" s="542">
        <v>3.0590279999999996</v>
      </c>
    </row>
    <row r="10" spans="1:9">
      <c r="A10" s="498" t="s">
        <v>49</v>
      </c>
      <c r="B10" s="542">
        <v>3.68946</v>
      </c>
    </row>
    <row r="11" spans="1:9" ht="13.9">
      <c r="A11" s="543" t="s">
        <v>50</v>
      </c>
      <c r="B11" s="544">
        <v>1.3780984521792761</v>
      </c>
    </row>
    <row r="12" spans="1:9" ht="13.9">
      <c r="A12" s="543" t="s">
        <v>51</v>
      </c>
      <c r="B12" s="544">
        <v>1.5211330941386658</v>
      </c>
    </row>
    <row r="13" spans="1:9" ht="14.45" thickBot="1">
      <c r="A13" s="545" t="s">
        <v>52</v>
      </c>
      <c r="B13" s="546">
        <v>1.6986210431043303</v>
      </c>
    </row>
  </sheetData>
  <mergeCells count="3">
    <mergeCell ref="E2:F2"/>
    <mergeCell ref="H2:I2"/>
    <mergeCell ref="A5:B5"/>
  </mergeCells>
  <hyperlinks>
    <hyperlink ref="A1" location="'Sumário Cap.XI'!A1" display="Voltar para Sumário" xr:uid="{02BFEA7E-9574-455C-9A9B-05D9C6C3A898}"/>
  </hyperlinks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678E"/>
  </sheetPr>
  <dimension ref="A1:AV23"/>
  <sheetViews>
    <sheetView showGridLines="0" zoomScaleNormal="100" workbookViewId="0"/>
  </sheetViews>
  <sheetFormatPr defaultColWidth="8.85546875" defaultRowHeight="12.75" customHeight="1"/>
  <cols>
    <col min="1" max="1" width="30" style="248" customWidth="1"/>
    <col min="2" max="20" width="9.140625" style="248" hidden="1" customWidth="1"/>
    <col min="21" max="21" width="6.5703125" style="248" hidden="1" customWidth="1"/>
    <col min="22" max="22" width="9.5703125" style="248" bestFit="1" customWidth="1"/>
    <col min="23" max="23" width="9.42578125" style="248" bestFit="1" customWidth="1"/>
    <col min="24" max="31" width="9.140625" style="248" hidden="1" customWidth="1"/>
    <col min="32" max="32" width="9.5703125" style="248" bestFit="1" customWidth="1"/>
    <col min="33" max="33" width="9.140625" style="248" customWidth="1"/>
    <col min="34" max="41" width="9.140625" style="248" hidden="1" customWidth="1"/>
    <col min="42" max="42" width="9.5703125" style="248" bestFit="1" customWidth="1"/>
    <col min="43" max="43" width="8.85546875" style="248"/>
    <col min="44" max="44" width="14.85546875" style="248" customWidth="1"/>
    <col min="45" max="45" width="8.85546875" style="248"/>
    <col min="46" max="48" width="9.140625" style="248" customWidth="1"/>
    <col min="49" max="16384" width="8.85546875" style="248"/>
  </cols>
  <sheetData>
    <row r="1" spans="1:48" ht="12.75" customHeight="1">
      <c r="A1" s="591" t="s">
        <v>22</v>
      </c>
    </row>
    <row r="2" spans="1:48" ht="12.75" customHeight="1">
      <c r="A2" s="248" t="s">
        <v>53</v>
      </c>
    </row>
    <row r="3" spans="1:48" ht="12.75" customHeight="1" thickBot="1"/>
    <row r="4" spans="1:48" ht="12.75" customHeight="1">
      <c r="A4" s="399"/>
      <c r="B4" s="608">
        <v>2011</v>
      </c>
      <c r="C4" s="608"/>
      <c r="D4" s="608">
        <v>2012</v>
      </c>
      <c r="E4" s="608"/>
      <c r="F4" s="608">
        <v>2013</v>
      </c>
      <c r="G4" s="608"/>
      <c r="H4" s="608">
        <v>2014</v>
      </c>
      <c r="I4" s="608"/>
      <c r="J4" s="608">
        <v>2015</v>
      </c>
      <c r="K4" s="608"/>
      <c r="L4" s="605">
        <v>2016</v>
      </c>
      <c r="M4" s="605"/>
      <c r="N4" s="605">
        <v>2017</v>
      </c>
      <c r="O4" s="605"/>
      <c r="P4" s="605">
        <v>2018</v>
      </c>
      <c r="Q4" s="605"/>
      <c r="R4" s="605">
        <v>2019</v>
      </c>
      <c r="S4" s="605"/>
      <c r="T4" s="605">
        <v>2020</v>
      </c>
      <c r="U4" s="605"/>
      <c r="V4" s="605">
        <v>2021</v>
      </c>
      <c r="W4" s="605"/>
      <c r="X4" s="605">
        <v>2022</v>
      </c>
      <c r="Y4" s="605"/>
      <c r="Z4" s="605">
        <v>2023</v>
      </c>
      <c r="AA4" s="605"/>
      <c r="AB4" s="605">
        <v>2024</v>
      </c>
      <c r="AC4" s="605"/>
      <c r="AD4" s="605">
        <v>2025</v>
      </c>
      <c r="AE4" s="605"/>
      <c r="AF4" s="605">
        <v>2026</v>
      </c>
      <c r="AG4" s="605"/>
      <c r="AH4" s="605">
        <v>2027</v>
      </c>
      <c r="AI4" s="605"/>
      <c r="AJ4" s="605">
        <v>2028</v>
      </c>
      <c r="AK4" s="605"/>
      <c r="AL4" s="605">
        <v>2029</v>
      </c>
      <c r="AM4" s="605"/>
      <c r="AN4" s="605">
        <v>2030</v>
      </c>
      <c r="AO4" s="605"/>
      <c r="AP4" s="605">
        <v>2031</v>
      </c>
      <c r="AQ4" s="605"/>
      <c r="AR4" s="606" t="s">
        <v>54</v>
      </c>
      <c r="AS4" s="377"/>
    </row>
    <row r="5" spans="1:48" ht="12.75" customHeight="1" thickBot="1">
      <c r="A5" s="400"/>
      <c r="B5" s="401" t="s">
        <v>55</v>
      </c>
      <c r="C5" s="401" t="s">
        <v>56</v>
      </c>
      <c r="D5" s="401" t="s">
        <v>55</v>
      </c>
      <c r="E5" s="401" t="s">
        <v>56</v>
      </c>
      <c r="F5" s="401" t="s">
        <v>55</v>
      </c>
      <c r="G5" s="401" t="s">
        <v>56</v>
      </c>
      <c r="H5" s="401" t="s">
        <v>55</v>
      </c>
      <c r="I5" s="401" t="s">
        <v>56</v>
      </c>
      <c r="J5" s="401" t="s">
        <v>55</v>
      </c>
      <c r="K5" s="401" t="s">
        <v>56</v>
      </c>
      <c r="L5" s="401" t="s">
        <v>55</v>
      </c>
      <c r="M5" s="401" t="s">
        <v>56</v>
      </c>
      <c r="N5" s="401" t="s">
        <v>55</v>
      </c>
      <c r="O5" s="401" t="s">
        <v>56</v>
      </c>
      <c r="P5" s="401" t="s">
        <v>55</v>
      </c>
      <c r="Q5" s="401" t="s">
        <v>56</v>
      </c>
      <c r="R5" s="401" t="s">
        <v>55</v>
      </c>
      <c r="S5" s="401" t="s">
        <v>56</v>
      </c>
      <c r="T5" s="401" t="s">
        <v>55</v>
      </c>
      <c r="U5" s="401" t="s">
        <v>56</v>
      </c>
      <c r="V5" s="401" t="s">
        <v>55</v>
      </c>
      <c r="W5" s="401" t="s">
        <v>56</v>
      </c>
      <c r="X5" s="401" t="s">
        <v>55</v>
      </c>
      <c r="Y5" s="401" t="s">
        <v>56</v>
      </c>
      <c r="Z5" s="401" t="s">
        <v>55</v>
      </c>
      <c r="AA5" s="401" t="s">
        <v>56</v>
      </c>
      <c r="AB5" s="401" t="s">
        <v>55</v>
      </c>
      <c r="AC5" s="401" t="s">
        <v>56</v>
      </c>
      <c r="AD5" s="401" t="s">
        <v>55</v>
      </c>
      <c r="AE5" s="401" t="s">
        <v>56</v>
      </c>
      <c r="AF5" s="401" t="s">
        <v>55</v>
      </c>
      <c r="AG5" s="401" t="s">
        <v>56</v>
      </c>
      <c r="AH5" s="401" t="s">
        <v>55</v>
      </c>
      <c r="AI5" s="401" t="s">
        <v>56</v>
      </c>
      <c r="AJ5" s="401" t="s">
        <v>55</v>
      </c>
      <c r="AK5" s="401" t="s">
        <v>56</v>
      </c>
      <c r="AL5" s="401" t="s">
        <v>55</v>
      </c>
      <c r="AM5" s="401" t="s">
        <v>56</v>
      </c>
      <c r="AN5" s="401" t="s">
        <v>55</v>
      </c>
      <c r="AO5" s="401" t="s">
        <v>56</v>
      </c>
      <c r="AP5" s="401" t="s">
        <v>55</v>
      </c>
      <c r="AQ5" s="401" t="s">
        <v>56</v>
      </c>
      <c r="AR5" s="607"/>
      <c r="AS5" s="377"/>
    </row>
    <row r="6" spans="1:48" ht="12.75" customHeight="1">
      <c r="A6" s="250" t="s">
        <v>57</v>
      </c>
      <c r="B6" s="402">
        <v>152265.21452431261</v>
      </c>
      <c r="C6" s="403">
        <v>55.901741711244426</v>
      </c>
      <c r="D6" s="402">
        <v>163585.52249591824</v>
      </c>
      <c r="E6" s="403">
        <v>57.751679503970351</v>
      </c>
      <c r="F6" s="402">
        <v>174876.14329295102</v>
      </c>
      <c r="G6" s="403">
        <v>59.019735246122224</v>
      </c>
      <c r="H6" s="402">
        <v>185099.99255426257</v>
      </c>
      <c r="I6" s="403">
        <v>60.571599257754677</v>
      </c>
      <c r="J6" s="402">
        <v>175956.63396024361</v>
      </c>
      <c r="K6" s="403">
        <v>58.806793924133821</v>
      </c>
      <c r="L6" s="402">
        <v>155930.74857883574</v>
      </c>
      <c r="M6" s="404">
        <v>54.188643810484571</v>
      </c>
      <c r="N6" s="402">
        <v>166807.67564561946</v>
      </c>
      <c r="O6" s="404">
        <v>56.835418135667581</v>
      </c>
      <c r="P6" s="402">
        <v>160129.9342975404</v>
      </c>
      <c r="Q6" s="404">
        <v>51.874936802140631</v>
      </c>
      <c r="R6" s="402">
        <f t="shared" ref="R6:U6" si="0">SUM(R7:R11)</f>
        <v>155998.02142307599</v>
      </c>
      <c r="S6" s="404">
        <f t="shared" si="0"/>
        <v>54.717972572223175</v>
      </c>
      <c r="T6" s="402">
        <f t="shared" si="0"/>
        <v>160264.50861690738</v>
      </c>
      <c r="U6" s="404">
        <f t="shared" si="0"/>
        <v>63.65688011413237</v>
      </c>
      <c r="V6" s="402">
        <v>156411.97380447344</v>
      </c>
      <c r="W6" s="404">
        <v>53.018528962036363</v>
      </c>
      <c r="X6" s="402">
        <v>155090.23723192807</v>
      </c>
      <c r="Y6" s="404">
        <v>51.507766453444042</v>
      </c>
      <c r="Z6" s="402">
        <v>156991.31489782425</v>
      </c>
      <c r="AA6" s="404">
        <v>50.867347065001148</v>
      </c>
      <c r="AB6" s="402">
        <v>160201.11788979953</v>
      </c>
      <c r="AC6" s="404">
        <v>50.405588460200427</v>
      </c>
      <c r="AD6" s="402">
        <v>163286.97728414831</v>
      </c>
      <c r="AE6" s="404">
        <v>50.055315479693398</v>
      </c>
      <c r="AF6" s="402">
        <v>168073.50001511519</v>
      </c>
      <c r="AG6" s="404">
        <v>50.012158932890578</v>
      </c>
      <c r="AH6" s="402">
        <v>177194.62211086781</v>
      </c>
      <c r="AI6" s="404">
        <v>50.980172268083017</v>
      </c>
      <c r="AJ6" s="402">
        <v>184009.5277061419</v>
      </c>
      <c r="AK6" s="404">
        <v>51.465621826005808</v>
      </c>
      <c r="AL6" s="402">
        <v>189531.02649708028</v>
      </c>
      <c r="AM6" s="404">
        <v>51.728196244884302</v>
      </c>
      <c r="AN6" s="402">
        <v>195384.45476179014</v>
      </c>
      <c r="AO6" s="404">
        <v>51.948380042800899</v>
      </c>
      <c r="AP6" s="402">
        <v>200409.38570915346</v>
      </c>
      <c r="AQ6" s="404">
        <v>52.13220448078124</v>
      </c>
      <c r="AR6" s="403">
        <v>2.5096630592554181</v>
      </c>
      <c r="AS6" s="377"/>
    </row>
    <row r="7" spans="1:48" ht="12.75" customHeight="1">
      <c r="A7" s="251" t="s">
        <v>58</v>
      </c>
      <c r="B7" s="405">
        <v>105172.04249327201</v>
      </c>
      <c r="C7" s="406">
        <v>38.612235716938159</v>
      </c>
      <c r="D7" s="405">
        <v>111413.0179678242</v>
      </c>
      <c r="E7" s="406">
        <v>39.332874988423391</v>
      </c>
      <c r="F7" s="405">
        <v>116499.57420186081</v>
      </c>
      <c r="G7" s="406">
        <v>39.317964681789434</v>
      </c>
      <c r="H7" s="405">
        <v>120327.11608274901</v>
      </c>
      <c r="I7" s="406">
        <v>39.37550593401015</v>
      </c>
      <c r="J7" s="405">
        <v>111625.59338263294</v>
      </c>
      <c r="K7" s="406">
        <v>37.30659719368596</v>
      </c>
      <c r="L7" s="405">
        <v>105315.71569400262</v>
      </c>
      <c r="M7" s="407">
        <v>36.599040647222026</v>
      </c>
      <c r="N7" s="405">
        <v>106275.81905553001</v>
      </c>
      <c r="O7" s="407">
        <v>36.210747439248422</v>
      </c>
      <c r="P7" s="405">
        <v>103378.06646272146</v>
      </c>
      <c r="Q7" s="407">
        <v>33.489869886017573</v>
      </c>
      <c r="R7" s="405">
        <v>103120.619392972</v>
      </c>
      <c r="S7" s="407">
        <f>R7/R$17*100</f>
        <v>36.170658910297142</v>
      </c>
      <c r="T7" s="405">
        <v>110608.22111240002</v>
      </c>
      <c r="U7" s="407">
        <f>T7/T$17*100</f>
        <v>43.933459327667343</v>
      </c>
      <c r="V7" s="405">
        <v>100089.28743845069</v>
      </c>
      <c r="W7" s="407">
        <v>33.926985612231363</v>
      </c>
      <c r="X7" s="405">
        <v>103505.43101278787</v>
      </c>
      <c r="Y7" s="407">
        <v>34.375687744271453</v>
      </c>
      <c r="Z7" s="405">
        <v>103870.34001707485</v>
      </c>
      <c r="AA7" s="407">
        <v>33.655419975601781</v>
      </c>
      <c r="AB7" s="405">
        <v>105018.41731872728</v>
      </c>
      <c r="AC7" s="407">
        <v>33.042934992193366</v>
      </c>
      <c r="AD7" s="405">
        <v>105947.30530272631</v>
      </c>
      <c r="AE7" s="407">
        <v>32.477946982402678</v>
      </c>
      <c r="AF7" s="405">
        <v>107575.24800792885</v>
      </c>
      <c r="AG7" s="407">
        <v>32.01022409918172</v>
      </c>
      <c r="AH7" s="405">
        <v>108120.18539486783</v>
      </c>
      <c r="AI7" s="407">
        <v>31.106958052252153</v>
      </c>
      <c r="AJ7" s="405">
        <v>109726.93878010659</v>
      </c>
      <c r="AK7" s="407">
        <v>30.689525731518767</v>
      </c>
      <c r="AL7" s="405">
        <v>111411.39634457667</v>
      </c>
      <c r="AM7" s="407">
        <v>30.407214483785999</v>
      </c>
      <c r="AN7" s="405">
        <v>114153.95295452491</v>
      </c>
      <c r="AO7" s="407">
        <v>30.35099664760731</v>
      </c>
      <c r="AP7" s="405">
        <v>116335.49846445813</v>
      </c>
      <c r="AQ7" s="407">
        <v>30.262185440378502</v>
      </c>
      <c r="AR7" s="408">
        <v>1.5155251845915485</v>
      </c>
      <c r="AS7" s="377"/>
      <c r="AT7" s="409"/>
      <c r="AU7" s="409"/>
      <c r="AV7" s="409"/>
    </row>
    <row r="8" spans="1:48" ht="12.75" customHeight="1">
      <c r="A8" s="251" t="s">
        <v>59</v>
      </c>
      <c r="B8" s="405">
        <v>27714.504554806972</v>
      </c>
      <c r="C8" s="406">
        <v>10.174937723747449</v>
      </c>
      <c r="D8" s="405">
        <v>32598.280806733095</v>
      </c>
      <c r="E8" s="406">
        <v>11.508386786354231</v>
      </c>
      <c r="F8" s="405">
        <v>37791.657845000002</v>
      </c>
      <c r="G8" s="406">
        <v>12.754476388397364</v>
      </c>
      <c r="H8" s="405">
        <v>41372.51148999999</v>
      </c>
      <c r="I8" s="406">
        <v>13.538623917148399</v>
      </c>
      <c r="J8" s="405">
        <v>40970.66042</v>
      </c>
      <c r="K8" s="406">
        <v>13.692880626478598</v>
      </c>
      <c r="L8" s="405">
        <v>29178.681062979362</v>
      </c>
      <c r="M8" s="407">
        <v>10.140098533434012</v>
      </c>
      <c r="N8" s="405">
        <v>37938.238785000009</v>
      </c>
      <c r="O8" s="407">
        <v>12.926477491702293</v>
      </c>
      <c r="P8" s="405">
        <v>33476.30007942173</v>
      </c>
      <c r="Q8" s="407">
        <v>10.844823977525181</v>
      </c>
      <c r="R8" s="405">
        <v>35909.469755999991</v>
      </c>
      <c r="S8" s="407">
        <f t="shared" ref="S8:U16" si="1">R8/R$17*100</f>
        <v>12.595630144968165</v>
      </c>
      <c r="T8" s="405">
        <v>33824.039026000013</v>
      </c>
      <c r="U8" s="407">
        <f t="shared" si="1"/>
        <v>13.434869740253074</v>
      </c>
      <c r="V8" s="405">
        <v>36062.928079287252</v>
      </c>
      <c r="W8" s="407">
        <v>12.224149790588738</v>
      </c>
      <c r="X8" s="405">
        <v>31401.876953629468</v>
      </c>
      <c r="Y8" s="407">
        <v>10.429028758970489</v>
      </c>
      <c r="Z8" s="405">
        <v>32726.311028918179</v>
      </c>
      <c r="AA8" s="407">
        <v>10.603775262017548</v>
      </c>
      <c r="AB8" s="405">
        <v>34577.658546002625</v>
      </c>
      <c r="AC8" s="407">
        <v>10.879494784712213</v>
      </c>
      <c r="AD8" s="405">
        <v>36440.772737450323</v>
      </c>
      <c r="AE8" s="407">
        <v>11.170850278664343</v>
      </c>
      <c r="AF8" s="405">
        <v>39033.557697676857</v>
      </c>
      <c r="AG8" s="407">
        <v>11.614873796980541</v>
      </c>
      <c r="AH8" s="405">
        <v>44127.856075627264</v>
      </c>
      <c r="AI8" s="407">
        <v>12.695902831346007</v>
      </c>
      <c r="AJ8" s="405">
        <v>49546.810687403471</v>
      </c>
      <c r="AK8" s="407">
        <v>13.857746679263377</v>
      </c>
      <c r="AL8" s="405">
        <v>52149.635588229343</v>
      </c>
      <c r="AM8" s="407">
        <v>14.233060589943495</v>
      </c>
      <c r="AN8" s="405">
        <v>54284.82003210824</v>
      </c>
      <c r="AO8" s="407">
        <v>14.433126038717479</v>
      </c>
      <c r="AP8" s="405">
        <v>54861.637918494547</v>
      </c>
      <c r="AQ8" s="407">
        <v>14.27107875211111</v>
      </c>
      <c r="AR8" s="408">
        <v>4.2847437628114049</v>
      </c>
      <c r="AS8" s="377"/>
      <c r="AT8" s="409"/>
      <c r="AU8" s="409"/>
      <c r="AV8" s="409"/>
    </row>
    <row r="9" spans="1:48" ht="12.75" customHeight="1">
      <c r="A9" s="251" t="s">
        <v>60</v>
      </c>
      <c r="B9" s="405">
        <v>15235.593069219341</v>
      </c>
      <c r="C9" s="406">
        <v>5.5935046703469657</v>
      </c>
      <c r="D9" s="405">
        <v>15287.739417330935</v>
      </c>
      <c r="E9" s="406">
        <v>5.3971318103161643</v>
      </c>
      <c r="F9" s="405">
        <v>16478.374424053447</v>
      </c>
      <c r="G9" s="406">
        <v>5.5613606148947365</v>
      </c>
      <c r="H9" s="405">
        <v>17551.142730328767</v>
      </c>
      <c r="I9" s="406">
        <v>5.7433864221549182</v>
      </c>
      <c r="J9" s="405">
        <v>17675.130140580139</v>
      </c>
      <c r="K9" s="406">
        <v>5.9072381209235516</v>
      </c>
      <c r="L9" s="405">
        <v>15021.133714302383</v>
      </c>
      <c r="M9" s="407">
        <v>5.2201048984412584</v>
      </c>
      <c r="N9" s="405">
        <v>16569.810588945584</v>
      </c>
      <c r="O9" s="407">
        <v>5.6457360826265184</v>
      </c>
      <c r="P9" s="405">
        <v>17826.176439077033</v>
      </c>
      <c r="Q9" s="407">
        <v>5.7748838795041806</v>
      </c>
      <c r="R9" s="405">
        <v>14913.503620168594</v>
      </c>
      <c r="S9" s="407">
        <f t="shared" si="1"/>
        <v>5.2310707187176169</v>
      </c>
      <c r="T9" s="405">
        <v>13868.535396628133</v>
      </c>
      <c r="U9" s="407">
        <f t="shared" si="1"/>
        <v>5.5085664488077608</v>
      </c>
      <c r="V9" s="405">
        <v>15478.282077300517</v>
      </c>
      <c r="W9" s="407">
        <v>5.2466299518972965</v>
      </c>
      <c r="X9" s="405">
        <v>15272.729985610647</v>
      </c>
      <c r="Y9" s="407">
        <v>5.0722999928676122</v>
      </c>
      <c r="Z9" s="405">
        <v>15454.520923219845</v>
      </c>
      <c r="AA9" s="407">
        <v>5.007477515787345</v>
      </c>
      <c r="AB9" s="405">
        <v>15614.120280997458</v>
      </c>
      <c r="AC9" s="407">
        <v>4.9128179092571731</v>
      </c>
      <c r="AD9" s="405">
        <v>15833.69108587152</v>
      </c>
      <c r="AE9" s="407">
        <v>4.8537881936053751</v>
      </c>
      <c r="AF9" s="405">
        <v>16263.701119410976</v>
      </c>
      <c r="AG9" s="407">
        <v>4.8394470582683367</v>
      </c>
      <c r="AH9" s="405">
        <v>16748.573471301719</v>
      </c>
      <c r="AI9" s="407">
        <v>4.8186855257795012</v>
      </c>
      <c r="AJ9" s="405">
        <v>16361.140397208708</v>
      </c>
      <c r="AK9" s="407">
        <v>4.576047092896399</v>
      </c>
      <c r="AL9" s="405">
        <v>17395.934229646376</v>
      </c>
      <c r="AM9" s="407">
        <v>4.7478258115597249</v>
      </c>
      <c r="AN9" s="405">
        <v>18191.122557903942</v>
      </c>
      <c r="AO9" s="407">
        <v>4.8366148125514474</v>
      </c>
      <c r="AP9" s="405">
        <v>19063.655470439218</v>
      </c>
      <c r="AQ9" s="407">
        <v>4.9590012045564054</v>
      </c>
      <c r="AR9" s="408">
        <v>2.1053133248806644</v>
      </c>
      <c r="AS9" s="377"/>
      <c r="AT9" s="409"/>
      <c r="AU9" s="409"/>
      <c r="AV9" s="409"/>
    </row>
    <row r="10" spans="1:48" ht="12.75" customHeight="1">
      <c r="A10" s="251" t="s">
        <v>61</v>
      </c>
      <c r="B10" s="405">
        <v>4143.0744070143046</v>
      </c>
      <c r="C10" s="406">
        <v>1.5210636002118512</v>
      </c>
      <c r="D10" s="405">
        <f>'T11-2'!AC12/100</f>
        <v>0.49594411539799582</v>
      </c>
      <c r="E10" s="406">
        <v>1.5132859188765651</v>
      </c>
      <c r="F10" s="405">
        <v>4106.5368220367418</v>
      </c>
      <c r="G10" s="406">
        <v>1.3859335610406844</v>
      </c>
      <c r="H10" s="405">
        <v>4035.6156617876195</v>
      </c>
      <c r="I10" s="406">
        <v>1.3206034816692862</v>
      </c>
      <c r="J10" s="405">
        <v>3855.3082535418007</v>
      </c>
      <c r="K10" s="406">
        <v>1.2884897424854731</v>
      </c>
      <c r="L10" s="405">
        <v>3930.8527057375768</v>
      </c>
      <c r="M10" s="407">
        <v>1.3660395982451163</v>
      </c>
      <c r="N10" s="405">
        <v>4193.1196940581949</v>
      </c>
      <c r="O10" s="407">
        <v>1.4286975115641718</v>
      </c>
      <c r="P10" s="405">
        <v>3903.2723827103509</v>
      </c>
      <c r="Q10" s="407">
        <v>1.2644856757288416</v>
      </c>
      <c r="R10" s="405">
        <v>26.063679439999998</v>
      </c>
      <c r="S10" s="407">
        <f t="shared" si="1"/>
        <v>9.1421140070830024E-3</v>
      </c>
      <c r="T10" s="405">
        <v>0</v>
      </c>
      <c r="U10" s="407">
        <f t="shared" si="1"/>
        <v>0</v>
      </c>
      <c r="V10" s="405">
        <v>3781.4786032918005</v>
      </c>
      <c r="W10" s="407">
        <v>1.2817972177665407</v>
      </c>
      <c r="X10" s="405">
        <v>3781.4786032918005</v>
      </c>
      <c r="Y10" s="407">
        <v>1.2558850913083255</v>
      </c>
      <c r="Z10" s="405">
        <v>3707.8731333640985</v>
      </c>
      <c r="AA10" s="407">
        <v>1.201401935327308</v>
      </c>
      <c r="AB10" s="405">
        <v>3705.2464359329329</v>
      </c>
      <c r="AC10" s="407">
        <v>1.1658166275826696</v>
      </c>
      <c r="AD10" s="405">
        <v>3706.8301799723113</v>
      </c>
      <c r="AE10" s="407">
        <v>1.1363218131307482</v>
      </c>
      <c r="AF10" s="405">
        <v>3728.3072942624208</v>
      </c>
      <c r="AG10" s="407">
        <v>1.109399738415269</v>
      </c>
      <c r="AH10" s="405">
        <v>6569.2157637286564</v>
      </c>
      <c r="AI10" s="407">
        <v>1.8900108102126949</v>
      </c>
      <c r="AJ10" s="405">
        <v>6578.5637163513311</v>
      </c>
      <c r="AK10" s="407">
        <v>1.8399583793547238</v>
      </c>
      <c r="AL10" s="405">
        <v>6612.3051899707734</v>
      </c>
      <c r="AM10" s="407">
        <v>1.8046787738109162</v>
      </c>
      <c r="AN10" s="405">
        <v>6628.0653745577602</v>
      </c>
      <c r="AO10" s="407">
        <v>1.7622551366527219</v>
      </c>
      <c r="AP10" s="405">
        <v>8807.3358006460548</v>
      </c>
      <c r="AQ10" s="407">
        <v>2.291039560175721</v>
      </c>
      <c r="AR10" s="408">
        <v>8.822397757543099</v>
      </c>
      <c r="AS10" s="377"/>
      <c r="AT10" s="409"/>
      <c r="AU10" s="409"/>
      <c r="AV10" s="409"/>
    </row>
    <row r="11" spans="1:48" ht="12.75" customHeight="1">
      <c r="A11" s="410" t="s">
        <v>62</v>
      </c>
      <c r="B11" s="411"/>
      <c r="C11" s="412"/>
      <c r="D11" s="411"/>
      <c r="E11" s="412"/>
      <c r="F11" s="411"/>
      <c r="G11" s="412"/>
      <c r="H11" s="411">
        <v>1813.6065893971895</v>
      </c>
      <c r="I11" s="412">
        <v>0.59347950277191963</v>
      </c>
      <c r="J11" s="411">
        <v>1829.9417634887141</v>
      </c>
      <c r="K11" s="412">
        <v>0.61158824056023586</v>
      </c>
      <c r="L11" s="411">
        <v>2484.3654018138077</v>
      </c>
      <c r="M11" s="413">
        <v>0.86336013314215665</v>
      </c>
      <c r="N11" s="411">
        <v>1830.6875220856659</v>
      </c>
      <c r="O11" s="413">
        <v>0.62375961052617424</v>
      </c>
      <c r="P11" s="411">
        <v>1546.1189336097973</v>
      </c>
      <c r="Q11" s="413">
        <v>0.50087338336485698</v>
      </c>
      <c r="R11" s="411">
        <v>2028.3649744953791</v>
      </c>
      <c r="S11" s="413">
        <f t="shared" si="1"/>
        <v>0.71147068423316839</v>
      </c>
      <c r="T11" s="411">
        <v>1963.7130818792311</v>
      </c>
      <c r="U11" s="413">
        <f t="shared" si="1"/>
        <v>0.77998459740419479</v>
      </c>
      <c r="V11" s="411">
        <v>999.99760614321303</v>
      </c>
      <c r="W11" s="413">
        <v>0.33896638955242581</v>
      </c>
      <c r="X11" s="411">
        <v>1128.7206766082868</v>
      </c>
      <c r="Y11" s="413">
        <v>0.3748648660261657</v>
      </c>
      <c r="Z11" s="411">
        <v>1232.2697952472647</v>
      </c>
      <c r="AA11" s="413">
        <v>0.39927237626716144</v>
      </c>
      <c r="AB11" s="411">
        <v>1285.675308139248</v>
      </c>
      <c r="AC11" s="413">
        <v>0.40452414645500195</v>
      </c>
      <c r="AD11" s="411">
        <v>1358.3779781278456</v>
      </c>
      <c r="AE11" s="413">
        <v>0.41640821189025801</v>
      </c>
      <c r="AF11" s="411">
        <v>1472.6858958360608</v>
      </c>
      <c r="AG11" s="413">
        <v>0.43821424004471704</v>
      </c>
      <c r="AH11" s="411">
        <v>1628.791405342311</v>
      </c>
      <c r="AI11" s="413">
        <v>0.46861504849266672</v>
      </c>
      <c r="AJ11" s="411">
        <v>1796.0741250717713</v>
      </c>
      <c r="AK11" s="413">
        <v>0.50234394297253948</v>
      </c>
      <c r="AL11" s="411">
        <v>1961.755144657131</v>
      </c>
      <c r="AM11" s="413">
        <v>0.53541658578416829</v>
      </c>
      <c r="AN11" s="411">
        <v>2126.4938426952908</v>
      </c>
      <c r="AO11" s="413">
        <v>0.56538740727194436</v>
      </c>
      <c r="AP11" s="411">
        <v>1341.2580551155015</v>
      </c>
      <c r="AQ11" s="413">
        <v>0.34889952355950288</v>
      </c>
      <c r="AR11" s="414">
        <v>2.9796326522864458</v>
      </c>
      <c r="AS11" s="377"/>
      <c r="AT11" s="409"/>
      <c r="AU11" s="409"/>
      <c r="AV11" s="409"/>
    </row>
    <row r="12" spans="1:48" ht="12.75" customHeight="1">
      <c r="A12" s="250" t="s">
        <v>63</v>
      </c>
      <c r="B12" s="402">
        <v>120114.87572551415</v>
      </c>
      <c r="C12" s="403">
        <v>44.098258288755581</v>
      </c>
      <c r="D12" s="402">
        <v>119671.21375998911</v>
      </c>
      <c r="E12" s="403">
        <v>42.248320496029642</v>
      </c>
      <c r="F12" s="402">
        <v>121424.98812298656</v>
      </c>
      <c r="G12" s="403">
        <v>40.980264753877783</v>
      </c>
      <c r="H12" s="402">
        <v>120488.75666563716</v>
      </c>
      <c r="I12" s="403">
        <v>39.42840074224533</v>
      </c>
      <c r="J12" s="402">
        <v>123254.77040103458</v>
      </c>
      <c r="K12" s="403">
        <v>41.193206075866193</v>
      </c>
      <c r="L12" s="402">
        <v>131824.65110264852</v>
      </c>
      <c r="M12" s="404">
        <v>45.811356189515436</v>
      </c>
      <c r="N12" s="402">
        <v>126684.79985169342</v>
      </c>
      <c r="O12" s="404">
        <v>43.164581864332433</v>
      </c>
      <c r="P12" s="402">
        <v>148554.65245829846</v>
      </c>
      <c r="Q12" s="404">
        <v>48.125063197859355</v>
      </c>
      <c r="R12" s="402">
        <f t="shared" ref="R12:U12" si="2">SUM(R13:R16)</f>
        <v>129096.64508192205</v>
      </c>
      <c r="S12" s="404">
        <f t="shared" si="2"/>
        <v>45.282027427776811</v>
      </c>
      <c r="T12" s="402">
        <f t="shared" si="2"/>
        <v>91498.550347911892</v>
      </c>
      <c r="U12" s="404">
        <f t="shared" si="2"/>
        <v>36.34311988586763</v>
      </c>
      <c r="V12" s="402">
        <v>138601.8201777614</v>
      </c>
      <c r="W12" s="404">
        <v>46.981471037963658</v>
      </c>
      <c r="X12" s="402">
        <v>146010.44701557932</v>
      </c>
      <c r="Y12" s="404">
        <v>48.492233546555966</v>
      </c>
      <c r="Z12" s="402">
        <v>151637.54812743232</v>
      </c>
      <c r="AA12" s="404">
        <v>49.132652934998852</v>
      </c>
      <c r="AB12" s="402">
        <v>157623.00198193296</v>
      </c>
      <c r="AC12" s="404">
        <v>49.59441153979958</v>
      </c>
      <c r="AD12" s="402">
        <v>162926.08464409207</v>
      </c>
      <c r="AE12" s="404">
        <v>49.944684520306609</v>
      </c>
      <c r="AF12" s="402">
        <v>167991.77611232933</v>
      </c>
      <c r="AG12" s="404">
        <v>49.987841067109407</v>
      </c>
      <c r="AH12" s="402">
        <v>170380.94350134057</v>
      </c>
      <c r="AI12" s="404">
        <v>49.019827731916969</v>
      </c>
      <c r="AJ12" s="402">
        <v>173529.19654796013</v>
      </c>
      <c r="AK12" s="404">
        <v>48.534378173994178</v>
      </c>
      <c r="AL12" s="402">
        <v>176866.87688201561</v>
      </c>
      <c r="AM12" s="404">
        <v>48.271803755115698</v>
      </c>
      <c r="AN12" s="402">
        <v>180728.24519306986</v>
      </c>
      <c r="AO12" s="404">
        <v>48.051619957199094</v>
      </c>
      <c r="AP12" s="415">
        <v>184015.91858242935</v>
      </c>
      <c r="AQ12" s="404">
        <v>47.867795519218753</v>
      </c>
      <c r="AR12" s="403">
        <v>2.8747152274271492</v>
      </c>
      <c r="AS12" s="377"/>
      <c r="AT12" s="409"/>
      <c r="AU12" s="409"/>
      <c r="AV12" s="409"/>
    </row>
    <row r="13" spans="1:48" ht="12.75" customHeight="1">
      <c r="A13" s="251" t="s">
        <v>64</v>
      </c>
      <c r="B13" s="405">
        <v>39922.847662928136</v>
      </c>
      <c r="C13" s="406">
        <v>14.657035918561792</v>
      </c>
      <c r="D13" s="405">
        <v>39181.308430465462</v>
      </c>
      <c r="E13" s="406">
        <v>13.832436590340164</v>
      </c>
      <c r="F13" s="405">
        <v>37092.648918627994</v>
      </c>
      <c r="G13" s="406">
        <v>12.518564725478075</v>
      </c>
      <c r="H13" s="405">
        <v>35019.260425435707</v>
      </c>
      <c r="I13" s="406">
        <v>11.45960396605965</v>
      </c>
      <c r="J13" s="405">
        <v>33897.011204227616</v>
      </c>
      <c r="K13" s="406">
        <v>11.328783164728305</v>
      </c>
      <c r="L13" s="405">
        <v>40502.540993780196</v>
      </c>
      <c r="M13" s="407">
        <v>14.075336566616075</v>
      </c>
      <c r="N13" s="405">
        <v>35023.209813776943</v>
      </c>
      <c r="O13" s="407">
        <v>11.933256467455026</v>
      </c>
      <c r="P13" s="405">
        <v>43312.625850268996</v>
      </c>
      <c r="Q13" s="407">
        <v>14.031353591531317</v>
      </c>
      <c r="R13" s="405">
        <v>36380.854191906867</v>
      </c>
      <c r="S13" s="407">
        <f t="shared" si="1"/>
        <v>12.760973271756756</v>
      </c>
      <c r="T13" s="405">
        <v>253.20359199083393</v>
      </c>
      <c r="U13" s="407">
        <f t="shared" si="1"/>
        <v>0.10057217807566278</v>
      </c>
      <c r="V13" s="405">
        <v>36101.649187775241</v>
      </c>
      <c r="W13" s="407">
        <v>12.237274976352195</v>
      </c>
      <c r="X13" s="405">
        <v>38470.293543129599</v>
      </c>
      <c r="Y13" s="407">
        <v>12.776554672823886</v>
      </c>
      <c r="Z13" s="405">
        <v>39083.011114774148</v>
      </c>
      <c r="AA13" s="407">
        <v>12.663433591943669</v>
      </c>
      <c r="AB13" s="405">
        <v>40528.15428743088</v>
      </c>
      <c r="AC13" s="407">
        <v>12.751755374572337</v>
      </c>
      <c r="AD13" s="405">
        <v>41438.857882178374</v>
      </c>
      <c r="AE13" s="407">
        <v>12.703003870303025</v>
      </c>
      <c r="AF13" s="405">
        <v>42498.156254924957</v>
      </c>
      <c r="AG13" s="407">
        <v>12.645804036834967</v>
      </c>
      <c r="AH13" s="405">
        <v>42299.586933211831</v>
      </c>
      <c r="AI13" s="407">
        <v>12.169896597508718</v>
      </c>
      <c r="AJ13" s="405">
        <v>42718.681459197032</v>
      </c>
      <c r="AK13" s="407">
        <v>11.947987325937023</v>
      </c>
      <c r="AL13" s="405">
        <v>43315.462624548119</v>
      </c>
      <c r="AM13" s="407">
        <v>11.821973386057154</v>
      </c>
      <c r="AN13" s="405">
        <v>43592.340872301836</v>
      </c>
      <c r="AO13" s="407">
        <v>11.590233692596305</v>
      </c>
      <c r="AP13" s="405">
        <v>43587.236372073319</v>
      </c>
      <c r="AQ13" s="407">
        <v>11.338284937406938</v>
      </c>
      <c r="AR13" s="408">
        <v>1.9021223256448616</v>
      </c>
      <c r="AS13" s="377"/>
      <c r="AT13" s="409"/>
      <c r="AU13" s="409"/>
      <c r="AV13" s="409"/>
    </row>
    <row r="14" spans="1:48" ht="12.75" customHeight="1">
      <c r="A14" s="251" t="s">
        <v>65</v>
      </c>
      <c r="B14" s="405">
        <v>26321.855849028929</v>
      </c>
      <c r="C14" s="406">
        <v>9.663648993172206</v>
      </c>
      <c r="D14" s="405">
        <v>25682.61512014749</v>
      </c>
      <c r="E14" s="406">
        <v>9.0669035658677561</v>
      </c>
      <c r="F14" s="405">
        <v>24579.973039696561</v>
      </c>
      <c r="G14" s="406">
        <v>8.2956055288199426</v>
      </c>
      <c r="H14" s="405">
        <v>24728.210452503015</v>
      </c>
      <c r="I14" s="406">
        <v>8.0919898116761981</v>
      </c>
      <c r="J14" s="405">
        <v>24519.171397938993</v>
      </c>
      <c r="K14" s="406">
        <v>8.1945978798099901</v>
      </c>
      <c r="L14" s="405">
        <v>26104.481733760891</v>
      </c>
      <c r="M14" s="407">
        <v>9.0717608644897272</v>
      </c>
      <c r="N14" s="405">
        <v>23423.81848863608</v>
      </c>
      <c r="O14" s="407">
        <v>7.9810626998001331</v>
      </c>
      <c r="P14" s="405">
        <v>22468.495728605212</v>
      </c>
      <c r="Q14" s="407">
        <v>7.2787876987124038</v>
      </c>
      <c r="R14" s="405">
        <v>25725.213945275322</v>
      </c>
      <c r="S14" s="407">
        <f t="shared" si="1"/>
        <v>9.0233936189137118</v>
      </c>
      <c r="T14" s="405">
        <v>25710.334215958814</v>
      </c>
      <c r="U14" s="407">
        <f t="shared" si="1"/>
        <v>10.212115439680732</v>
      </c>
      <c r="V14" s="405">
        <v>26213.054379509562</v>
      </c>
      <c r="W14" s="407">
        <v>8.885365672456679</v>
      </c>
      <c r="X14" s="405">
        <v>26502.459460143007</v>
      </c>
      <c r="Y14" s="407">
        <v>8.8018595927061245</v>
      </c>
      <c r="Z14" s="405">
        <v>26524.758876074724</v>
      </c>
      <c r="AA14" s="407">
        <v>8.594386998050819</v>
      </c>
      <c r="AB14" s="405">
        <v>27205.201515313634</v>
      </c>
      <c r="AC14" s="407">
        <v>8.5598291049443063</v>
      </c>
      <c r="AD14" s="405">
        <v>28137.152698859903</v>
      </c>
      <c r="AE14" s="407">
        <v>8.6253911883667786</v>
      </c>
      <c r="AF14" s="405">
        <v>28440.850736985125</v>
      </c>
      <c r="AG14" s="407">
        <v>8.4628947877970084</v>
      </c>
      <c r="AH14" s="405">
        <v>28350.869866639616</v>
      </c>
      <c r="AI14" s="407">
        <v>8.1567499765707936</v>
      </c>
      <c r="AJ14" s="405">
        <v>28111.527984349639</v>
      </c>
      <c r="AK14" s="407">
        <v>7.8625128069682413</v>
      </c>
      <c r="AL14" s="405">
        <v>28005.199597191233</v>
      </c>
      <c r="AM14" s="407">
        <v>7.6433842385324677</v>
      </c>
      <c r="AN14" s="405">
        <v>27919.276124972137</v>
      </c>
      <c r="AO14" s="407">
        <v>7.4231144357324084</v>
      </c>
      <c r="AP14" s="405">
        <v>27811.107963023824</v>
      </c>
      <c r="AQ14" s="407">
        <v>7.2344634061678139</v>
      </c>
      <c r="AR14" s="408">
        <v>0.59353409947751068</v>
      </c>
      <c r="AS14" s="377"/>
      <c r="AT14" s="409"/>
      <c r="AU14" s="409"/>
      <c r="AV14" s="409"/>
    </row>
    <row r="15" spans="1:48" ht="12.75" customHeight="1">
      <c r="A15" s="251" t="s">
        <v>66</v>
      </c>
      <c r="B15" s="405">
        <v>42777.313736264303</v>
      </c>
      <c r="C15" s="406">
        <v>15.705007549204126</v>
      </c>
      <c r="D15" s="405">
        <v>43556.836281517164</v>
      </c>
      <c r="E15" s="406">
        <v>15.377158141851174</v>
      </c>
      <c r="F15" s="405">
        <v>47601.037124149225</v>
      </c>
      <c r="G15" s="406">
        <v>16.065087870801442</v>
      </c>
      <c r="H15" s="405">
        <v>48128.16846426783</v>
      </c>
      <c r="I15" s="406">
        <v>15.749326042640105</v>
      </c>
      <c r="J15" s="405">
        <v>50647.557205364166</v>
      </c>
      <c r="K15" s="406">
        <v>16.927014300634934</v>
      </c>
      <c r="L15" s="405">
        <v>49666.95955475443</v>
      </c>
      <c r="M15" s="407">
        <v>17.26013121204004</v>
      </c>
      <c r="N15" s="405">
        <v>51115.997623429968</v>
      </c>
      <c r="O15" s="407">
        <v>17.416459327216373</v>
      </c>
      <c r="P15" s="405">
        <v>60389.321029749146</v>
      </c>
      <c r="Q15" s="407">
        <v>19.563439063938578</v>
      </c>
      <c r="R15" s="405">
        <v>52610.851188576045</v>
      </c>
      <c r="S15" s="407">
        <f t="shared" si="1"/>
        <v>18.453818106644135</v>
      </c>
      <c r="T15" s="405">
        <v>55121.756772854053</v>
      </c>
      <c r="U15" s="407">
        <f t="shared" si="1"/>
        <v>21.894298948979891</v>
      </c>
      <c r="V15" s="405">
        <v>51644.458000042716</v>
      </c>
      <c r="W15" s="407">
        <v>17.505777374990352</v>
      </c>
      <c r="X15" s="405">
        <v>53056.589149288462</v>
      </c>
      <c r="Y15" s="407">
        <v>17.62087963429385</v>
      </c>
      <c r="Z15" s="405">
        <v>54770.56674302974</v>
      </c>
      <c r="AA15" s="407">
        <v>17.746417559963472</v>
      </c>
      <c r="AB15" s="405">
        <v>56444.21624079856</v>
      </c>
      <c r="AC15" s="407">
        <v>17.759576039596467</v>
      </c>
      <c r="AD15" s="405">
        <v>57870.577648174942</v>
      </c>
      <c r="AE15" s="407">
        <v>17.740116629942055</v>
      </c>
      <c r="AF15" s="405">
        <v>60013.24289363165</v>
      </c>
      <c r="AG15" s="407">
        <v>17.857614920880163</v>
      </c>
      <c r="AH15" s="405">
        <v>61210.281246335064</v>
      </c>
      <c r="AI15" s="407">
        <v>17.610639901720724</v>
      </c>
      <c r="AJ15" s="405">
        <v>62510.358642534775</v>
      </c>
      <c r="AK15" s="407">
        <v>17.483521197023904</v>
      </c>
      <c r="AL15" s="405">
        <v>63441.053729448555</v>
      </c>
      <c r="AM15" s="407">
        <v>17.314797149319077</v>
      </c>
      <c r="AN15" s="405">
        <v>64689.263537663566</v>
      </c>
      <c r="AO15" s="407">
        <v>17.199436111949261</v>
      </c>
      <c r="AP15" s="405">
        <v>65607.91548302985</v>
      </c>
      <c r="AQ15" s="407">
        <v>17.066492437050108</v>
      </c>
      <c r="AR15" s="408">
        <v>2.4219998763166828</v>
      </c>
      <c r="AS15" s="377"/>
      <c r="AT15" s="409"/>
      <c r="AU15" s="409"/>
      <c r="AV15" s="409"/>
    </row>
    <row r="16" spans="1:48" ht="12.75" customHeight="1">
      <c r="A16" s="410" t="s">
        <v>67</v>
      </c>
      <c r="B16" s="411">
        <v>11092.85847729279</v>
      </c>
      <c r="C16" s="412">
        <v>4.0725658278174555</v>
      </c>
      <c r="D16" s="411">
        <v>11250.453927859013</v>
      </c>
      <c r="E16" s="412">
        <v>3.9718221979705466</v>
      </c>
      <c r="F16" s="411">
        <v>12151.329040512772</v>
      </c>
      <c r="G16" s="412">
        <v>4.1010066287783236</v>
      </c>
      <c r="H16" s="411">
        <v>12613.117323430612</v>
      </c>
      <c r="I16" s="412">
        <v>4.1274809218693758</v>
      </c>
      <c r="J16" s="411">
        <v>14191.030593503801</v>
      </c>
      <c r="K16" s="412">
        <v>4.742810730692959</v>
      </c>
      <c r="L16" s="411">
        <v>15550.668820353021</v>
      </c>
      <c r="M16" s="413">
        <v>5.4041275463695966</v>
      </c>
      <c r="N16" s="411">
        <v>17121.773925850426</v>
      </c>
      <c r="O16" s="413">
        <v>5.8338033698609042</v>
      </c>
      <c r="P16" s="411">
        <v>22384.209849675091</v>
      </c>
      <c r="Q16" s="413">
        <v>7.2514828436770626</v>
      </c>
      <c r="R16" s="411">
        <v>14379.725756163807</v>
      </c>
      <c r="S16" s="413">
        <f t="shared" si="1"/>
        <v>5.0438424304622034</v>
      </c>
      <c r="T16" s="411">
        <v>10413.255767108192</v>
      </c>
      <c r="U16" s="413">
        <f t="shared" si="1"/>
        <v>4.1361333191313481</v>
      </c>
      <c r="V16" s="411">
        <v>24642.6586104339</v>
      </c>
      <c r="W16" s="413">
        <v>8.353053014164427</v>
      </c>
      <c r="X16" s="411">
        <v>27981.104863018259</v>
      </c>
      <c r="Y16" s="413">
        <v>9.2929396467321048</v>
      </c>
      <c r="Z16" s="411">
        <v>31259.211393553698</v>
      </c>
      <c r="AA16" s="413">
        <v>10.128414785040896</v>
      </c>
      <c r="AB16" s="411">
        <v>33445.429938389898</v>
      </c>
      <c r="AC16" s="413">
        <v>10.523251020686477</v>
      </c>
      <c r="AD16" s="411">
        <v>35479.496414878842</v>
      </c>
      <c r="AE16" s="413">
        <v>10.876172831694749</v>
      </c>
      <c r="AF16" s="411">
        <v>37039.526226787602</v>
      </c>
      <c r="AG16" s="413">
        <v>11.021527321597269</v>
      </c>
      <c r="AH16" s="411">
        <v>38520.205455154079</v>
      </c>
      <c r="AI16" s="413">
        <v>11.082541256116734</v>
      </c>
      <c r="AJ16" s="411">
        <v>40188.628461878689</v>
      </c>
      <c r="AK16" s="413">
        <v>11.240356844065012</v>
      </c>
      <c r="AL16" s="411">
        <v>42105.160930827689</v>
      </c>
      <c r="AM16" s="413">
        <v>11.491648981207002</v>
      </c>
      <c r="AN16" s="411">
        <v>44527.364658132326</v>
      </c>
      <c r="AO16" s="413">
        <v>11.838835716921118</v>
      </c>
      <c r="AP16" s="411">
        <v>47009.658764302338</v>
      </c>
      <c r="AQ16" s="413">
        <v>12.228554738593893</v>
      </c>
      <c r="AR16" s="408">
        <v>6.671881128507362</v>
      </c>
      <c r="AS16" s="377"/>
      <c r="AT16" s="409"/>
      <c r="AU16" s="409"/>
      <c r="AV16" s="409"/>
    </row>
    <row r="17" spans="1:45" ht="12.75" customHeight="1" thickBot="1">
      <c r="A17" s="416" t="s">
        <v>68</v>
      </c>
      <c r="B17" s="417">
        <v>272380.09024982678</v>
      </c>
      <c r="C17" s="418">
        <v>100</v>
      </c>
      <c r="D17" s="417">
        <v>283256.73625590734</v>
      </c>
      <c r="E17" s="418">
        <v>100</v>
      </c>
      <c r="F17" s="417">
        <v>296301.13141593756</v>
      </c>
      <c r="G17" s="418">
        <v>100</v>
      </c>
      <c r="H17" s="417">
        <v>305588.74921989976</v>
      </c>
      <c r="I17" s="418">
        <v>100</v>
      </c>
      <c r="J17" s="417">
        <v>299211.40436127817</v>
      </c>
      <c r="K17" s="418">
        <v>100.00000000000001</v>
      </c>
      <c r="L17" s="417">
        <v>287755.39968148427</v>
      </c>
      <c r="M17" s="419">
        <v>100</v>
      </c>
      <c r="N17" s="417">
        <v>293492.47549731284</v>
      </c>
      <c r="O17" s="419">
        <v>100.00000000000001</v>
      </c>
      <c r="P17" s="417">
        <v>308684.58675583883</v>
      </c>
      <c r="Q17" s="419">
        <v>99.999999999999986</v>
      </c>
      <c r="R17" s="417">
        <f t="shared" ref="R17:U17" si="3">R6+R12</f>
        <v>285094.66650499805</v>
      </c>
      <c r="S17" s="419">
        <f t="shared" si="3"/>
        <v>99.999999999999986</v>
      </c>
      <c r="T17" s="417">
        <f t="shared" si="3"/>
        <v>251763.05896481927</v>
      </c>
      <c r="U17" s="419">
        <f t="shared" si="3"/>
        <v>100</v>
      </c>
      <c r="V17" s="417">
        <v>295013.79398223484</v>
      </c>
      <c r="W17" s="419">
        <v>100.00000000000003</v>
      </c>
      <c r="X17" s="417">
        <v>301100.68424750736</v>
      </c>
      <c r="Y17" s="419">
        <v>100</v>
      </c>
      <c r="Z17" s="417">
        <v>308628.86302525655</v>
      </c>
      <c r="AA17" s="419">
        <v>100</v>
      </c>
      <c r="AB17" s="417">
        <v>317824.11987173249</v>
      </c>
      <c r="AC17" s="419">
        <v>100</v>
      </c>
      <c r="AD17" s="417">
        <v>326213.06192824035</v>
      </c>
      <c r="AE17" s="419">
        <v>100</v>
      </c>
      <c r="AF17" s="417">
        <v>336065.27612744452</v>
      </c>
      <c r="AG17" s="419">
        <v>99.999999999999986</v>
      </c>
      <c r="AH17" s="417">
        <v>347575.56561220839</v>
      </c>
      <c r="AI17" s="419">
        <v>99.999999999999986</v>
      </c>
      <c r="AJ17" s="417">
        <v>357538.72425410204</v>
      </c>
      <c r="AK17" s="419">
        <v>99.999999999999986</v>
      </c>
      <c r="AL17" s="417">
        <v>366397.90337909589</v>
      </c>
      <c r="AM17" s="419">
        <v>100</v>
      </c>
      <c r="AN17" s="417">
        <v>376112.69995486003</v>
      </c>
      <c r="AO17" s="419">
        <v>100</v>
      </c>
      <c r="AP17" s="417">
        <v>384425.30429158278</v>
      </c>
      <c r="AQ17" s="419">
        <v>100</v>
      </c>
      <c r="AR17" s="420">
        <v>2.6826254409718864</v>
      </c>
      <c r="AS17" s="377"/>
    </row>
    <row r="18" spans="1:45" ht="12.75" customHeight="1">
      <c r="A18" s="377"/>
      <c r="B18" s="377"/>
      <c r="C18" s="377"/>
      <c r="D18" s="377"/>
      <c r="E18" s="377"/>
      <c r="F18" s="377"/>
      <c r="G18" s="377"/>
      <c r="H18" s="377"/>
      <c r="I18" s="377"/>
      <c r="J18" s="377"/>
      <c r="K18" s="377"/>
      <c r="L18" s="377"/>
      <c r="M18" s="377"/>
      <c r="N18" s="377"/>
      <c r="O18" s="377"/>
      <c r="P18" s="377"/>
      <c r="Q18" s="377"/>
      <c r="R18" s="377"/>
      <c r="S18" s="377"/>
      <c r="T18" s="377"/>
      <c r="U18" s="377"/>
      <c r="V18" s="377"/>
      <c r="W18" s="377"/>
      <c r="X18" s="377"/>
      <c r="Y18" s="377"/>
      <c r="Z18" s="377"/>
      <c r="AA18" s="377"/>
      <c r="AB18" s="377"/>
      <c r="AC18" s="377"/>
      <c r="AD18" s="377"/>
      <c r="AE18" s="377"/>
      <c r="AF18" s="377"/>
      <c r="AG18" s="377"/>
      <c r="AH18" s="377"/>
      <c r="AI18" s="377"/>
      <c r="AJ18" s="377"/>
      <c r="AK18" s="377"/>
      <c r="AL18" s="377"/>
      <c r="AM18" s="377"/>
      <c r="AN18" s="377"/>
      <c r="AO18" s="377"/>
      <c r="AP18" s="377"/>
      <c r="AQ18" s="377"/>
      <c r="AR18" s="377"/>
      <c r="AS18" s="377"/>
    </row>
    <row r="20" spans="1:45" ht="12.75" customHeight="1">
      <c r="A20" s="256"/>
      <c r="AD20" s="421">
        <v>7234.9935954757311</v>
      </c>
      <c r="AE20" s="422">
        <f>AD20/AD17*100</f>
        <v>2.2178736659745617</v>
      </c>
      <c r="AN20" s="421">
        <v>8910.9721468499956</v>
      </c>
      <c r="AO20" s="422">
        <f>AN20/AP17*100</f>
        <v>2.3179983334528651</v>
      </c>
      <c r="AP20" s="422"/>
      <c r="AQ20" s="422"/>
    </row>
    <row r="21" spans="1:45" ht="12.75" customHeight="1">
      <c r="AH21" s="423"/>
      <c r="AI21" s="424"/>
      <c r="AJ21" s="424"/>
      <c r="AK21" s="424"/>
      <c r="AL21" s="424"/>
      <c r="AM21" s="424"/>
      <c r="AN21" s="424"/>
      <c r="AO21" s="424"/>
      <c r="AP21" s="424"/>
      <c r="AQ21" s="424"/>
      <c r="AS21" s="425"/>
    </row>
    <row r="22" spans="1:45" ht="12.75" customHeight="1">
      <c r="AI22" s="424"/>
      <c r="AJ22" s="424"/>
      <c r="AK22" s="424"/>
      <c r="AL22" s="424"/>
      <c r="AM22" s="424"/>
      <c r="AN22" s="424"/>
      <c r="AO22" s="424"/>
      <c r="AP22" s="424"/>
      <c r="AQ22" s="424"/>
    </row>
    <row r="23" spans="1:45" ht="12.75" customHeight="1">
      <c r="AI23" s="424"/>
      <c r="AJ23" s="424"/>
      <c r="AK23" s="424"/>
      <c r="AL23" s="424"/>
      <c r="AM23" s="424"/>
      <c r="AN23" s="424"/>
      <c r="AO23" s="424"/>
      <c r="AP23" s="424"/>
      <c r="AQ23" s="424"/>
    </row>
  </sheetData>
  <mergeCells count="22">
    <mergeCell ref="X4:Y4"/>
    <mergeCell ref="F4:G4"/>
    <mergeCell ref="N4:O4"/>
    <mergeCell ref="H4:I4"/>
    <mergeCell ref="P4:Q4"/>
    <mergeCell ref="R4:S4"/>
    <mergeCell ref="B4:C4"/>
    <mergeCell ref="D4:E4"/>
    <mergeCell ref="L4:M4"/>
    <mergeCell ref="V4:W4"/>
    <mergeCell ref="J4:K4"/>
    <mergeCell ref="T4:U4"/>
    <mergeCell ref="Z4:AA4"/>
    <mergeCell ref="AB4:AC4"/>
    <mergeCell ref="AD4:AE4"/>
    <mergeCell ref="AF4:AG4"/>
    <mergeCell ref="AR4:AR5"/>
    <mergeCell ref="AH4:AI4"/>
    <mergeCell ref="AJ4:AK4"/>
    <mergeCell ref="AL4:AM4"/>
    <mergeCell ref="AN4:AO4"/>
    <mergeCell ref="AP4:AQ4"/>
  </mergeCells>
  <phoneticPr fontId="7" type="noConversion"/>
  <hyperlinks>
    <hyperlink ref="A1" location="'Sumário Cap.XI'!A1" display="Voltar para Sumário" xr:uid="{98A5D033-E1EC-452A-B378-07DEADEFF344}"/>
  </hyperlink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M7"/>
  <sheetViews>
    <sheetView showGridLines="0" workbookViewId="0">
      <selection activeCell="K6" sqref="K6"/>
    </sheetView>
  </sheetViews>
  <sheetFormatPr defaultColWidth="8.85546875" defaultRowHeight="13.15"/>
  <cols>
    <col min="1" max="1" width="24.85546875" style="248" customWidth="1"/>
    <col min="2" max="2" width="8.7109375" style="248" customWidth="1"/>
    <col min="3" max="5" width="8.85546875" style="248" hidden="1" customWidth="1"/>
    <col min="6" max="6" width="9.140625" style="248" hidden="1" customWidth="1"/>
    <col min="7" max="7" width="9.140625" style="248" customWidth="1"/>
    <col min="8" max="10" width="9.140625" style="248" hidden="1" customWidth="1"/>
    <col min="11" max="11" width="9.140625" style="248" customWidth="1"/>
    <col min="12" max="12" width="9.140625" style="248" hidden="1" customWidth="1"/>
    <col min="13" max="13" width="0" style="248" hidden="1" customWidth="1"/>
    <col min="14" max="16384" width="8.85546875" style="248"/>
  </cols>
  <sheetData>
    <row r="1" spans="1:13">
      <c r="A1" s="591" t="s">
        <v>22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</row>
    <row r="2" spans="1:13">
      <c r="A2" s="248" t="s">
        <v>69</v>
      </c>
    </row>
    <row r="4" spans="1:13" ht="13.9" thickBot="1">
      <c r="A4" s="349" t="s">
        <v>43</v>
      </c>
      <c r="B4" s="349"/>
      <c r="C4" s="349"/>
      <c r="D4" s="349"/>
      <c r="E4" s="349"/>
      <c r="F4" s="349"/>
      <c r="G4" s="349"/>
      <c r="H4" s="349"/>
      <c r="I4" s="349"/>
      <c r="J4" s="349"/>
      <c r="K4" s="349"/>
    </row>
    <row r="5" spans="1:13" ht="13.9">
      <c r="A5" s="548"/>
      <c r="B5" s="549">
        <v>2031</v>
      </c>
      <c r="C5" s="549">
        <v>2029</v>
      </c>
      <c r="D5" s="549">
        <v>2028</v>
      </c>
      <c r="E5" s="549">
        <v>2027</v>
      </c>
      <c r="F5" s="549">
        <v>2026</v>
      </c>
      <c r="G5" s="549">
        <v>2026</v>
      </c>
      <c r="H5" s="549">
        <v>2024</v>
      </c>
      <c r="I5" s="549">
        <v>2023</v>
      </c>
      <c r="J5" s="549">
        <v>2022</v>
      </c>
      <c r="K5" s="550">
        <v>2021</v>
      </c>
    </row>
    <row r="6" spans="1:13">
      <c r="A6" s="498" t="s">
        <v>70</v>
      </c>
      <c r="B6" s="542">
        <v>0.47867795519218753</v>
      </c>
      <c r="C6" s="542">
        <v>0.482718037551157</v>
      </c>
      <c r="D6" s="542">
        <v>0.48534378173994175</v>
      </c>
      <c r="E6" s="542">
        <v>0.49019827731916971</v>
      </c>
      <c r="F6" s="542">
        <v>0.49987841067109406</v>
      </c>
      <c r="G6" s="542">
        <v>0.49987841067109406</v>
      </c>
      <c r="H6" s="542">
        <v>0.49594411539799582</v>
      </c>
      <c r="I6" s="542">
        <v>0.49132652934998849</v>
      </c>
      <c r="J6" s="542">
        <v>0.48492233546555963</v>
      </c>
      <c r="K6" s="542">
        <v>0.46981471037963657</v>
      </c>
    </row>
    <row r="7" spans="1:13" ht="13.9" thickBot="1">
      <c r="A7" s="538" t="s">
        <v>71</v>
      </c>
      <c r="B7" s="547">
        <v>0.52132204480781241</v>
      </c>
      <c r="C7" s="547">
        <v>0.51728196244884306</v>
      </c>
      <c r="D7" s="547">
        <v>0.51465621826005803</v>
      </c>
      <c r="E7" s="547">
        <v>0.50980172268083013</v>
      </c>
      <c r="F7" s="547">
        <v>0.50012158932890582</v>
      </c>
      <c r="G7" s="547">
        <v>0.50012158932890582</v>
      </c>
      <c r="H7" s="547">
        <v>0.50405588460200423</v>
      </c>
      <c r="I7" s="547">
        <v>0.50867347065001145</v>
      </c>
      <c r="J7" s="547">
        <v>0.51507766453444037</v>
      </c>
      <c r="K7" s="547">
        <v>0.5301852896203636</v>
      </c>
    </row>
  </sheetData>
  <phoneticPr fontId="7" type="noConversion"/>
  <hyperlinks>
    <hyperlink ref="A1" location="'Sumário Cap.XI'!A1" display="Voltar para Sumário" xr:uid="{9C9C3545-0402-4BDE-87A5-D881C5A60662}"/>
  </hyperlinks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AR31"/>
  <sheetViews>
    <sheetView showGridLines="0" workbookViewId="0"/>
  </sheetViews>
  <sheetFormatPr defaultColWidth="8.85546875" defaultRowHeight="12.75" customHeight="1"/>
  <cols>
    <col min="1" max="1" width="29" style="248" bestFit="1" customWidth="1"/>
    <col min="2" max="21" width="0" style="248" hidden="1" customWidth="1"/>
    <col min="22" max="23" width="8.85546875" style="248"/>
    <col min="24" max="31" width="0" style="248" hidden="1" customWidth="1"/>
    <col min="32" max="33" width="8.85546875" style="248"/>
    <col min="34" max="41" width="0" style="248" hidden="1" customWidth="1"/>
    <col min="42" max="43" width="8.85546875" style="248"/>
    <col min="44" max="44" width="17.5703125" style="248" customWidth="1"/>
    <col min="45" max="16384" width="8.85546875" style="248"/>
  </cols>
  <sheetData>
    <row r="1" spans="1:44" ht="12.75" customHeight="1">
      <c r="A1" s="591" t="s">
        <v>22</v>
      </c>
    </row>
    <row r="2" spans="1:44" ht="12.75" customHeight="1">
      <c r="A2" s="248" t="s">
        <v>72</v>
      </c>
    </row>
    <row r="4" spans="1:44" ht="12.75" customHeight="1" thickBot="1">
      <c r="A4" s="248" t="s">
        <v>73</v>
      </c>
    </row>
    <row r="5" spans="1:44" ht="12.75" customHeight="1">
      <c r="A5" s="399"/>
      <c r="B5" s="608">
        <v>2011</v>
      </c>
      <c r="C5" s="608"/>
      <c r="D5" s="608">
        <v>2012</v>
      </c>
      <c r="E5" s="608"/>
      <c r="F5" s="608">
        <v>2013</v>
      </c>
      <c r="G5" s="608"/>
      <c r="H5" s="608">
        <v>2014</v>
      </c>
      <c r="I5" s="608"/>
      <c r="J5" s="608">
        <v>2015</v>
      </c>
      <c r="K5" s="608"/>
      <c r="L5" s="605">
        <v>2016</v>
      </c>
      <c r="M5" s="605"/>
      <c r="N5" s="605">
        <v>2017</v>
      </c>
      <c r="O5" s="605"/>
      <c r="P5" s="605">
        <v>2018</v>
      </c>
      <c r="Q5" s="605"/>
      <c r="R5" s="605">
        <v>2019</v>
      </c>
      <c r="S5" s="605"/>
      <c r="T5" s="605">
        <v>2020</v>
      </c>
      <c r="U5" s="605"/>
      <c r="V5" s="605">
        <v>2021</v>
      </c>
      <c r="W5" s="605"/>
      <c r="X5" s="605">
        <v>2022</v>
      </c>
      <c r="Y5" s="605"/>
      <c r="Z5" s="605">
        <v>2023</v>
      </c>
      <c r="AA5" s="605"/>
      <c r="AB5" s="605">
        <v>2024</v>
      </c>
      <c r="AC5" s="605"/>
      <c r="AD5" s="605">
        <v>2025</v>
      </c>
      <c r="AE5" s="605"/>
      <c r="AF5" s="605">
        <v>2026</v>
      </c>
      <c r="AG5" s="605"/>
      <c r="AH5" s="605">
        <v>2027</v>
      </c>
      <c r="AI5" s="605"/>
      <c r="AJ5" s="605">
        <v>2028</v>
      </c>
      <c r="AK5" s="605"/>
      <c r="AL5" s="605">
        <v>2029</v>
      </c>
      <c r="AM5" s="605"/>
      <c r="AN5" s="605">
        <v>2030</v>
      </c>
      <c r="AO5" s="605"/>
      <c r="AP5" s="605">
        <v>2031</v>
      </c>
      <c r="AQ5" s="605"/>
      <c r="AR5" s="606" t="s">
        <v>54</v>
      </c>
    </row>
    <row r="6" spans="1:44" ht="12.75" customHeight="1" thickBot="1">
      <c r="A6" s="400"/>
      <c r="B6" s="401" t="s">
        <v>55</v>
      </c>
      <c r="C6" s="401" t="s">
        <v>56</v>
      </c>
      <c r="D6" s="401" t="s">
        <v>55</v>
      </c>
      <c r="E6" s="401" t="s">
        <v>56</v>
      </c>
      <c r="F6" s="401" t="s">
        <v>55</v>
      </c>
      <c r="G6" s="401" t="s">
        <v>56</v>
      </c>
      <c r="H6" s="401" t="s">
        <v>55</v>
      </c>
      <c r="I6" s="401" t="s">
        <v>56</v>
      </c>
      <c r="J6" s="401" t="s">
        <v>55</v>
      </c>
      <c r="K6" s="401" t="s">
        <v>56</v>
      </c>
      <c r="L6" s="401" t="s">
        <v>55</v>
      </c>
      <c r="M6" s="401" t="s">
        <v>56</v>
      </c>
      <c r="N6" s="401" t="s">
        <v>55</v>
      </c>
      <c r="O6" s="401" t="s">
        <v>56</v>
      </c>
      <c r="P6" s="401" t="s">
        <v>55</v>
      </c>
      <c r="Q6" s="401" t="s">
        <v>56</v>
      </c>
      <c r="R6" s="401" t="s">
        <v>55</v>
      </c>
      <c r="S6" s="401" t="s">
        <v>56</v>
      </c>
      <c r="T6" s="401" t="s">
        <v>55</v>
      </c>
      <c r="U6" s="401" t="s">
        <v>56</v>
      </c>
      <c r="V6" s="401" t="s">
        <v>55</v>
      </c>
      <c r="W6" s="401" t="s">
        <v>56</v>
      </c>
      <c r="X6" s="401" t="s">
        <v>55</v>
      </c>
      <c r="Y6" s="401" t="s">
        <v>56</v>
      </c>
      <c r="Z6" s="401" t="s">
        <v>55</v>
      </c>
      <c r="AA6" s="401" t="s">
        <v>56</v>
      </c>
      <c r="AB6" s="401" t="s">
        <v>55</v>
      </c>
      <c r="AC6" s="401" t="s">
        <v>56</v>
      </c>
      <c r="AD6" s="401" t="s">
        <v>55</v>
      </c>
      <c r="AE6" s="401" t="s">
        <v>56</v>
      </c>
      <c r="AF6" s="401" t="s">
        <v>55</v>
      </c>
      <c r="AG6" s="401" t="s">
        <v>56</v>
      </c>
      <c r="AH6" s="401" t="s">
        <v>55</v>
      </c>
      <c r="AI6" s="401" t="s">
        <v>56</v>
      </c>
      <c r="AJ6" s="401" t="s">
        <v>55</v>
      </c>
      <c r="AK6" s="401" t="s">
        <v>56</v>
      </c>
      <c r="AL6" s="401" t="s">
        <v>55</v>
      </c>
      <c r="AM6" s="401" t="s">
        <v>56</v>
      </c>
      <c r="AN6" s="401" t="s">
        <v>55</v>
      </c>
      <c r="AO6" s="401" t="s">
        <v>56</v>
      </c>
      <c r="AP6" s="401" t="s">
        <v>55</v>
      </c>
      <c r="AQ6" s="401" t="s">
        <v>56</v>
      </c>
      <c r="AR6" s="607"/>
    </row>
    <row r="7" spans="1:44" ht="12.75" customHeight="1">
      <c r="A7" s="250" t="s">
        <v>57</v>
      </c>
      <c r="B7" s="402">
        <v>152265.21452431261</v>
      </c>
      <c r="C7" s="403">
        <v>55.901741711244426</v>
      </c>
      <c r="D7" s="402">
        <v>163585.52249591824</v>
      </c>
      <c r="E7" s="403">
        <v>57.751679503970351</v>
      </c>
      <c r="F7" s="402">
        <v>174876.14329295102</v>
      </c>
      <c r="G7" s="403">
        <v>59.019735246122224</v>
      </c>
      <c r="H7" s="402">
        <v>185099.99255426257</v>
      </c>
      <c r="I7" s="403">
        <v>60.571599257754677</v>
      </c>
      <c r="J7" s="402">
        <v>175956.63396024361</v>
      </c>
      <c r="K7" s="403">
        <v>58.806793924133821</v>
      </c>
      <c r="L7" s="402">
        <v>155930.74857883574</v>
      </c>
      <c r="M7" s="404">
        <v>54.188643810484571</v>
      </c>
      <c r="N7" s="402">
        <v>166807.67564561946</v>
      </c>
      <c r="O7" s="404">
        <v>56.835418135667581</v>
      </c>
      <c r="P7" s="402">
        <v>160129.9342975404</v>
      </c>
      <c r="Q7" s="404">
        <v>51.874936802140631</v>
      </c>
      <c r="R7" s="402">
        <f t="shared" ref="R7:U7" si="0">SUM(R8:R12)</f>
        <v>155998.02142307599</v>
      </c>
      <c r="S7" s="404">
        <f t="shared" si="0"/>
        <v>54.717972572223175</v>
      </c>
      <c r="T7" s="402">
        <f t="shared" si="0"/>
        <v>160264.50861690738</v>
      </c>
      <c r="U7" s="404">
        <f t="shared" si="0"/>
        <v>63.65688011413237</v>
      </c>
      <c r="V7" s="402">
        <v>156411.97380447344</v>
      </c>
      <c r="W7" s="404">
        <v>53.018528962036363</v>
      </c>
      <c r="X7" s="402">
        <v>155090.23723192807</v>
      </c>
      <c r="Y7" s="404">
        <v>51.507766453444042</v>
      </c>
      <c r="Z7" s="402">
        <v>156991.31489782425</v>
      </c>
      <c r="AA7" s="404">
        <v>50.867347065001148</v>
      </c>
      <c r="AB7" s="402">
        <v>160201.11788979953</v>
      </c>
      <c r="AC7" s="404">
        <v>50.405588460200427</v>
      </c>
      <c r="AD7" s="402">
        <v>163286.97728414831</v>
      </c>
      <c r="AE7" s="404">
        <v>50.055315479693398</v>
      </c>
      <c r="AF7" s="402">
        <v>168073.50001511519</v>
      </c>
      <c r="AG7" s="404">
        <v>50.012158932890578</v>
      </c>
      <c r="AH7" s="402">
        <v>177194.62211086781</v>
      </c>
      <c r="AI7" s="404">
        <v>50.980172268083017</v>
      </c>
      <c r="AJ7" s="402">
        <v>184009.5277061419</v>
      </c>
      <c r="AK7" s="404">
        <v>51.465621826005808</v>
      </c>
      <c r="AL7" s="402">
        <v>189531.02649708028</v>
      </c>
      <c r="AM7" s="404">
        <v>51.728196244884302</v>
      </c>
      <c r="AN7" s="402">
        <v>195384.45476179014</v>
      </c>
      <c r="AO7" s="404">
        <v>51.948380042800899</v>
      </c>
      <c r="AP7" s="402">
        <v>200409.38570915346</v>
      </c>
      <c r="AQ7" s="404">
        <v>52.13220448078124</v>
      </c>
      <c r="AR7" s="403">
        <v>2.5096630592554181</v>
      </c>
    </row>
    <row r="8" spans="1:44" ht="12.75" customHeight="1">
      <c r="A8" s="251" t="s">
        <v>58</v>
      </c>
      <c r="B8" s="405">
        <v>105172.04249327201</v>
      </c>
      <c r="C8" s="406">
        <v>38.612235716938159</v>
      </c>
      <c r="D8" s="405">
        <v>111413.0179678242</v>
      </c>
      <c r="E8" s="406">
        <v>39.332874988423391</v>
      </c>
      <c r="F8" s="405">
        <v>116499.57420186081</v>
      </c>
      <c r="G8" s="406">
        <v>39.317964681789434</v>
      </c>
      <c r="H8" s="405">
        <v>120327.11608274901</v>
      </c>
      <c r="I8" s="406">
        <v>39.37550593401015</v>
      </c>
      <c r="J8" s="405">
        <v>111625.59338263294</v>
      </c>
      <c r="K8" s="406">
        <v>37.30659719368596</v>
      </c>
      <c r="L8" s="405">
        <v>105315.71569400262</v>
      </c>
      <c r="M8" s="407">
        <v>36.599040647222026</v>
      </c>
      <c r="N8" s="405">
        <v>106275.81905553001</v>
      </c>
      <c r="O8" s="407">
        <v>36.210747439248422</v>
      </c>
      <c r="P8" s="405">
        <v>103378.06646272146</v>
      </c>
      <c r="Q8" s="407">
        <v>33.489869886017573</v>
      </c>
      <c r="R8" s="405">
        <v>103120.619392972</v>
      </c>
      <c r="S8" s="407">
        <f>R8/R$18*100</f>
        <v>36.170658910297142</v>
      </c>
      <c r="T8" s="405">
        <v>110608.22111240002</v>
      </c>
      <c r="U8" s="407">
        <f>T8/T$18*100</f>
        <v>43.933459327667343</v>
      </c>
      <c r="V8" s="405">
        <v>100089.28743845069</v>
      </c>
      <c r="W8" s="407">
        <v>33.926985612231363</v>
      </c>
      <c r="X8" s="405">
        <v>103505.43101278787</v>
      </c>
      <c r="Y8" s="407">
        <v>34.375687744271453</v>
      </c>
      <c r="Z8" s="405">
        <v>103870.34001707485</v>
      </c>
      <c r="AA8" s="407">
        <v>33.655419975601781</v>
      </c>
      <c r="AB8" s="405">
        <v>105018.41731872728</v>
      </c>
      <c r="AC8" s="407">
        <v>33.042934992193366</v>
      </c>
      <c r="AD8" s="405">
        <v>105947.30530272631</v>
      </c>
      <c r="AE8" s="407">
        <v>32.477946982402678</v>
      </c>
      <c r="AF8" s="405">
        <v>107575.24800792885</v>
      </c>
      <c r="AG8" s="407">
        <v>32.01022409918172</v>
      </c>
      <c r="AH8" s="405">
        <v>108120.18539486783</v>
      </c>
      <c r="AI8" s="407">
        <v>31.106958052252153</v>
      </c>
      <c r="AJ8" s="405">
        <v>109726.93878010659</v>
      </c>
      <c r="AK8" s="407">
        <v>30.689525731518767</v>
      </c>
      <c r="AL8" s="405">
        <v>111411.39634457667</v>
      </c>
      <c r="AM8" s="407">
        <v>30.407214483785999</v>
      </c>
      <c r="AN8" s="405">
        <v>114153.95295452491</v>
      </c>
      <c r="AO8" s="407">
        <v>30.35099664760731</v>
      </c>
      <c r="AP8" s="405">
        <v>116335.49846445813</v>
      </c>
      <c r="AQ8" s="407">
        <v>30.262185440378502</v>
      </c>
      <c r="AR8" s="408">
        <v>1.5155251845915485</v>
      </c>
    </row>
    <row r="9" spans="1:44" ht="12.75" customHeight="1">
      <c r="A9" s="251" t="s">
        <v>59</v>
      </c>
      <c r="B9" s="405">
        <v>27714.504554806972</v>
      </c>
      <c r="C9" s="406">
        <v>10.174937723747449</v>
      </c>
      <c r="D9" s="405">
        <v>32598.280806733095</v>
      </c>
      <c r="E9" s="406">
        <v>11.508386786354231</v>
      </c>
      <c r="F9" s="405">
        <v>37791.657845000002</v>
      </c>
      <c r="G9" s="406">
        <v>12.754476388397364</v>
      </c>
      <c r="H9" s="405">
        <v>41372.51148999999</v>
      </c>
      <c r="I9" s="406">
        <v>13.538623917148399</v>
      </c>
      <c r="J9" s="405">
        <v>40970.66042</v>
      </c>
      <c r="K9" s="406">
        <v>13.692880626478598</v>
      </c>
      <c r="L9" s="405">
        <v>29178.681062979362</v>
      </c>
      <c r="M9" s="407">
        <v>10.140098533434012</v>
      </c>
      <c r="N9" s="405">
        <v>37938.238785000009</v>
      </c>
      <c r="O9" s="407">
        <v>12.926477491702293</v>
      </c>
      <c r="P9" s="405">
        <v>33476.30007942173</v>
      </c>
      <c r="Q9" s="407">
        <v>10.844823977525181</v>
      </c>
      <c r="R9" s="405">
        <v>35909.469755999991</v>
      </c>
      <c r="S9" s="407">
        <f t="shared" ref="S9:U17" si="1">R9/R$18*100</f>
        <v>12.595630144968165</v>
      </c>
      <c r="T9" s="405">
        <v>33824.039026000013</v>
      </c>
      <c r="U9" s="407">
        <f t="shared" si="1"/>
        <v>13.434869740253074</v>
      </c>
      <c r="V9" s="405">
        <v>36062.928079287252</v>
      </c>
      <c r="W9" s="407">
        <v>12.224149790588738</v>
      </c>
      <c r="X9" s="405">
        <v>31401.876953629468</v>
      </c>
      <c r="Y9" s="407">
        <v>10.429028758970489</v>
      </c>
      <c r="Z9" s="405">
        <v>32726.311028918179</v>
      </c>
      <c r="AA9" s="407">
        <v>10.603775262017548</v>
      </c>
      <c r="AB9" s="405">
        <v>34577.658546002625</v>
      </c>
      <c r="AC9" s="407">
        <v>10.879494784712213</v>
      </c>
      <c r="AD9" s="405">
        <v>36440.772737450323</v>
      </c>
      <c r="AE9" s="407">
        <v>11.170850278664343</v>
      </c>
      <c r="AF9" s="405">
        <v>39033.557697676857</v>
      </c>
      <c r="AG9" s="407">
        <v>11.614873796980541</v>
      </c>
      <c r="AH9" s="405">
        <v>44127.856075627264</v>
      </c>
      <c r="AI9" s="407">
        <v>12.695902831346007</v>
      </c>
      <c r="AJ9" s="405">
        <v>49546.810687403471</v>
      </c>
      <c r="AK9" s="407">
        <v>13.857746679263377</v>
      </c>
      <c r="AL9" s="405">
        <v>52149.635588229343</v>
      </c>
      <c r="AM9" s="407">
        <v>14.233060589943495</v>
      </c>
      <c r="AN9" s="405">
        <v>54284.82003210824</v>
      </c>
      <c r="AO9" s="407">
        <v>14.433126038717479</v>
      </c>
      <c r="AP9" s="405">
        <v>54861.637918494547</v>
      </c>
      <c r="AQ9" s="407">
        <v>14.27107875211111</v>
      </c>
      <c r="AR9" s="408">
        <v>4.2847437628114049</v>
      </c>
    </row>
    <row r="10" spans="1:44" ht="12.75" customHeight="1">
      <c r="A10" s="251" t="s">
        <v>60</v>
      </c>
      <c r="B10" s="405">
        <v>15235.593069219341</v>
      </c>
      <c r="C10" s="406">
        <v>5.5935046703469657</v>
      </c>
      <c r="D10" s="405">
        <v>15287.739417330935</v>
      </c>
      <c r="E10" s="406">
        <v>5.3971318103161643</v>
      </c>
      <c r="F10" s="405">
        <v>16478.374424053447</v>
      </c>
      <c r="G10" s="406">
        <v>5.5613606148947365</v>
      </c>
      <c r="H10" s="405">
        <v>17551.142730328767</v>
      </c>
      <c r="I10" s="406">
        <v>5.7433864221549182</v>
      </c>
      <c r="J10" s="405">
        <v>17675.130140580139</v>
      </c>
      <c r="K10" s="406">
        <v>5.9072381209235516</v>
      </c>
      <c r="L10" s="405">
        <v>15021.133714302383</v>
      </c>
      <c r="M10" s="407">
        <v>5.2201048984412584</v>
      </c>
      <c r="N10" s="405">
        <v>16569.810588945584</v>
      </c>
      <c r="O10" s="407">
        <v>5.6457360826265184</v>
      </c>
      <c r="P10" s="405">
        <v>17826.176439077033</v>
      </c>
      <c r="Q10" s="407">
        <v>5.7748838795041806</v>
      </c>
      <c r="R10" s="405">
        <v>14913.503620168594</v>
      </c>
      <c r="S10" s="407">
        <f t="shared" si="1"/>
        <v>5.2310707187176169</v>
      </c>
      <c r="T10" s="405">
        <v>13868.535396628133</v>
      </c>
      <c r="U10" s="407">
        <f t="shared" si="1"/>
        <v>5.5085664488077608</v>
      </c>
      <c r="V10" s="405">
        <v>15478.282077300517</v>
      </c>
      <c r="W10" s="407">
        <v>5.2466299518972965</v>
      </c>
      <c r="X10" s="405">
        <v>15272.729985610647</v>
      </c>
      <c r="Y10" s="407">
        <v>5.0722999928676122</v>
      </c>
      <c r="Z10" s="405">
        <v>15454.520923219845</v>
      </c>
      <c r="AA10" s="407">
        <v>5.007477515787345</v>
      </c>
      <c r="AB10" s="405">
        <v>15614.120280997458</v>
      </c>
      <c r="AC10" s="407">
        <v>4.9128179092571731</v>
      </c>
      <c r="AD10" s="405">
        <v>15833.69108587152</v>
      </c>
      <c r="AE10" s="407">
        <v>4.8537881936053751</v>
      </c>
      <c r="AF10" s="405">
        <v>16263.701119410976</v>
      </c>
      <c r="AG10" s="407">
        <v>4.8394470582683367</v>
      </c>
      <c r="AH10" s="405">
        <v>16748.573471301719</v>
      </c>
      <c r="AI10" s="407">
        <v>4.8186855257795012</v>
      </c>
      <c r="AJ10" s="405">
        <v>16361.140397208708</v>
      </c>
      <c r="AK10" s="407">
        <v>4.576047092896399</v>
      </c>
      <c r="AL10" s="405">
        <v>17395.934229646376</v>
      </c>
      <c r="AM10" s="407">
        <v>4.7478258115597249</v>
      </c>
      <c r="AN10" s="405">
        <v>18191.122557903942</v>
      </c>
      <c r="AO10" s="407">
        <v>4.8366148125514474</v>
      </c>
      <c r="AP10" s="405">
        <v>19063.655470439218</v>
      </c>
      <c r="AQ10" s="407">
        <v>4.9590012045564054</v>
      </c>
      <c r="AR10" s="408">
        <v>2.1053133248806644</v>
      </c>
    </row>
    <row r="11" spans="1:44" ht="12.75" customHeight="1">
      <c r="A11" s="251" t="s">
        <v>61</v>
      </c>
      <c r="B11" s="405">
        <v>4143.0744070143046</v>
      </c>
      <c r="C11" s="406">
        <v>1.5210636002118512</v>
      </c>
      <c r="D11" s="405">
        <f>'T11-2'!AC12/100</f>
        <v>0.49594411539799582</v>
      </c>
      <c r="E11" s="406">
        <v>1.5132859188765651</v>
      </c>
      <c r="F11" s="405">
        <v>4106.5368220367418</v>
      </c>
      <c r="G11" s="406">
        <v>1.3859335610406844</v>
      </c>
      <c r="H11" s="405">
        <v>4035.6156617876195</v>
      </c>
      <c r="I11" s="406">
        <v>1.3206034816692862</v>
      </c>
      <c r="J11" s="405">
        <v>3855.3082535418007</v>
      </c>
      <c r="K11" s="406">
        <v>1.2884897424854731</v>
      </c>
      <c r="L11" s="405">
        <v>3930.8527057375768</v>
      </c>
      <c r="M11" s="407">
        <v>1.3660395982451163</v>
      </c>
      <c r="N11" s="405">
        <v>4193.1196940581949</v>
      </c>
      <c r="O11" s="407">
        <v>1.4286975115641718</v>
      </c>
      <c r="P11" s="405">
        <v>3903.2723827103509</v>
      </c>
      <c r="Q11" s="407">
        <v>1.2644856757288416</v>
      </c>
      <c r="R11" s="405">
        <v>26.063679439999998</v>
      </c>
      <c r="S11" s="407">
        <f t="shared" si="1"/>
        <v>9.1421140070830024E-3</v>
      </c>
      <c r="T11" s="405">
        <v>0</v>
      </c>
      <c r="U11" s="407">
        <f t="shared" si="1"/>
        <v>0</v>
      </c>
      <c r="V11" s="405">
        <v>3781.4786032918005</v>
      </c>
      <c r="W11" s="407">
        <v>1.2817972177665407</v>
      </c>
      <c r="X11" s="405">
        <v>3781.4786032918005</v>
      </c>
      <c r="Y11" s="407">
        <v>1.2558850913083255</v>
      </c>
      <c r="Z11" s="405">
        <v>3707.8731333640985</v>
      </c>
      <c r="AA11" s="407">
        <v>1.201401935327308</v>
      </c>
      <c r="AB11" s="405">
        <v>3705.2464359329329</v>
      </c>
      <c r="AC11" s="407">
        <v>1.1658166275826696</v>
      </c>
      <c r="AD11" s="405">
        <v>3706.8301799723113</v>
      </c>
      <c r="AE11" s="407">
        <v>1.1363218131307482</v>
      </c>
      <c r="AF11" s="405">
        <v>3728.3072942624208</v>
      </c>
      <c r="AG11" s="407">
        <v>1.109399738415269</v>
      </c>
      <c r="AH11" s="405">
        <v>6569.2157637286564</v>
      </c>
      <c r="AI11" s="407">
        <v>1.8900108102126949</v>
      </c>
      <c r="AJ11" s="405">
        <v>6578.5637163513311</v>
      </c>
      <c r="AK11" s="407">
        <v>1.8399583793547238</v>
      </c>
      <c r="AL11" s="405">
        <v>6612.3051899707734</v>
      </c>
      <c r="AM11" s="407">
        <v>1.8046787738109162</v>
      </c>
      <c r="AN11" s="405">
        <v>6628.0653745577602</v>
      </c>
      <c r="AO11" s="407">
        <v>1.7622551366527219</v>
      </c>
      <c r="AP11" s="405">
        <v>8807.3358006460548</v>
      </c>
      <c r="AQ11" s="407">
        <v>2.291039560175721</v>
      </c>
      <c r="AR11" s="408">
        <v>8.822397757543099</v>
      </c>
    </row>
    <row r="12" spans="1:44" ht="12.75" customHeight="1">
      <c r="A12" s="410" t="s">
        <v>62</v>
      </c>
      <c r="B12" s="411"/>
      <c r="C12" s="412"/>
      <c r="D12" s="411"/>
      <c r="E12" s="412"/>
      <c r="F12" s="411"/>
      <c r="G12" s="412"/>
      <c r="H12" s="411">
        <v>1813.6065893971895</v>
      </c>
      <c r="I12" s="412">
        <v>0.59347950277191963</v>
      </c>
      <c r="J12" s="411">
        <v>1829.9417634887141</v>
      </c>
      <c r="K12" s="412">
        <v>0.61158824056023586</v>
      </c>
      <c r="L12" s="411">
        <v>2484.3654018138077</v>
      </c>
      <c r="M12" s="413">
        <v>0.86336013314215665</v>
      </c>
      <c r="N12" s="411">
        <v>1830.6875220856659</v>
      </c>
      <c r="O12" s="413">
        <v>0.62375961052617424</v>
      </c>
      <c r="P12" s="411">
        <v>1546.1189336097973</v>
      </c>
      <c r="Q12" s="413">
        <v>0.50087338336485698</v>
      </c>
      <c r="R12" s="411">
        <v>2028.3649744953791</v>
      </c>
      <c r="S12" s="413">
        <f t="shared" si="1"/>
        <v>0.71147068423316839</v>
      </c>
      <c r="T12" s="411">
        <v>1963.7130818792311</v>
      </c>
      <c r="U12" s="413">
        <f t="shared" si="1"/>
        <v>0.77998459740419479</v>
      </c>
      <c r="V12" s="411">
        <v>999.99760614321303</v>
      </c>
      <c r="W12" s="413">
        <v>0.33896638955242581</v>
      </c>
      <c r="X12" s="411">
        <v>1128.7206766082868</v>
      </c>
      <c r="Y12" s="413">
        <v>0.3748648660261657</v>
      </c>
      <c r="Z12" s="411">
        <v>1232.2697952472647</v>
      </c>
      <c r="AA12" s="413">
        <v>0.39927237626716144</v>
      </c>
      <c r="AB12" s="411">
        <v>1285.675308139248</v>
      </c>
      <c r="AC12" s="413">
        <v>0.40452414645500195</v>
      </c>
      <c r="AD12" s="411">
        <v>1358.3779781278456</v>
      </c>
      <c r="AE12" s="413">
        <v>0.41640821189025801</v>
      </c>
      <c r="AF12" s="411">
        <v>1472.6858958360608</v>
      </c>
      <c r="AG12" s="413">
        <v>0.43821424004471704</v>
      </c>
      <c r="AH12" s="411">
        <v>1628.791405342311</v>
      </c>
      <c r="AI12" s="413">
        <v>0.46861504849266672</v>
      </c>
      <c r="AJ12" s="411">
        <v>1796.0741250717713</v>
      </c>
      <c r="AK12" s="413">
        <v>0.50234394297253948</v>
      </c>
      <c r="AL12" s="411">
        <v>1961.755144657131</v>
      </c>
      <c r="AM12" s="413">
        <v>0.53541658578416829</v>
      </c>
      <c r="AN12" s="411">
        <v>2126.4938426952908</v>
      </c>
      <c r="AO12" s="413">
        <v>0.56538740727194436</v>
      </c>
      <c r="AP12" s="411">
        <v>1341.2580551155015</v>
      </c>
      <c r="AQ12" s="413">
        <v>0.34889952355950288</v>
      </c>
      <c r="AR12" s="414">
        <v>2.9796326522864458</v>
      </c>
    </row>
    <row r="13" spans="1:44" ht="12.75" customHeight="1">
      <c r="A13" s="250" t="s">
        <v>63</v>
      </c>
      <c r="B13" s="402">
        <v>120114.87572551415</v>
      </c>
      <c r="C13" s="403">
        <v>44.098258288755581</v>
      </c>
      <c r="D13" s="402">
        <v>119671.21375998911</v>
      </c>
      <c r="E13" s="403">
        <v>42.248320496029642</v>
      </c>
      <c r="F13" s="402">
        <v>121424.98812298656</v>
      </c>
      <c r="G13" s="403">
        <v>40.980264753877783</v>
      </c>
      <c r="H13" s="402">
        <v>120488.75666563716</v>
      </c>
      <c r="I13" s="403">
        <v>39.42840074224533</v>
      </c>
      <c r="J13" s="402">
        <v>123254.77040103458</v>
      </c>
      <c r="K13" s="403">
        <v>41.193206075866193</v>
      </c>
      <c r="L13" s="402">
        <v>131824.65110264852</v>
      </c>
      <c r="M13" s="404">
        <v>45.811356189515436</v>
      </c>
      <c r="N13" s="402">
        <v>126684.79985169342</v>
      </c>
      <c r="O13" s="404">
        <v>43.164581864332433</v>
      </c>
      <c r="P13" s="402">
        <v>148554.65245829846</v>
      </c>
      <c r="Q13" s="404">
        <v>48.125063197859355</v>
      </c>
      <c r="R13" s="402">
        <f t="shared" ref="R13:U13" si="2">SUM(R14:R17)</f>
        <v>129096.64508192205</v>
      </c>
      <c r="S13" s="404">
        <f t="shared" si="2"/>
        <v>45.282027427776811</v>
      </c>
      <c r="T13" s="402">
        <f t="shared" si="2"/>
        <v>91498.550347911892</v>
      </c>
      <c r="U13" s="404">
        <f t="shared" si="2"/>
        <v>36.34311988586763</v>
      </c>
      <c r="V13" s="402">
        <v>138601.8201777614</v>
      </c>
      <c r="W13" s="404">
        <v>46.981471037963658</v>
      </c>
      <c r="X13" s="402">
        <v>146010.44701557932</v>
      </c>
      <c r="Y13" s="404">
        <v>48.492233546555966</v>
      </c>
      <c r="Z13" s="402">
        <v>151637.54812743232</v>
      </c>
      <c r="AA13" s="404">
        <v>49.132652934998852</v>
      </c>
      <c r="AB13" s="402">
        <v>157623.00198193296</v>
      </c>
      <c r="AC13" s="404">
        <v>49.59441153979958</v>
      </c>
      <c r="AD13" s="402">
        <v>162926.08464409207</v>
      </c>
      <c r="AE13" s="404">
        <v>49.944684520306609</v>
      </c>
      <c r="AF13" s="402">
        <v>167991.77611232933</v>
      </c>
      <c r="AG13" s="404">
        <v>49.987841067109407</v>
      </c>
      <c r="AH13" s="402">
        <v>170380.94350134057</v>
      </c>
      <c r="AI13" s="404">
        <v>49.019827731916969</v>
      </c>
      <c r="AJ13" s="402">
        <v>173529.19654796013</v>
      </c>
      <c r="AK13" s="404">
        <v>48.534378173994178</v>
      </c>
      <c r="AL13" s="402">
        <v>176866.87688201561</v>
      </c>
      <c r="AM13" s="404">
        <v>48.271803755115698</v>
      </c>
      <c r="AN13" s="402">
        <v>180728.24519306986</v>
      </c>
      <c r="AO13" s="404">
        <v>48.051619957199094</v>
      </c>
      <c r="AP13" s="415">
        <v>184015.91858242935</v>
      </c>
      <c r="AQ13" s="404">
        <v>47.867795519218753</v>
      </c>
      <c r="AR13" s="403">
        <v>2.8747152274271492</v>
      </c>
    </row>
    <row r="14" spans="1:44" ht="12.75" customHeight="1">
      <c r="A14" s="251" t="s">
        <v>64</v>
      </c>
      <c r="B14" s="405">
        <v>39922.847662928136</v>
      </c>
      <c r="C14" s="406">
        <v>14.657035918561792</v>
      </c>
      <c r="D14" s="405">
        <v>39181.308430465462</v>
      </c>
      <c r="E14" s="406">
        <v>13.832436590340164</v>
      </c>
      <c r="F14" s="405">
        <v>37092.648918627994</v>
      </c>
      <c r="G14" s="406">
        <v>12.518564725478075</v>
      </c>
      <c r="H14" s="405">
        <v>35019.260425435707</v>
      </c>
      <c r="I14" s="406">
        <v>11.45960396605965</v>
      </c>
      <c r="J14" s="405">
        <v>33897.011204227616</v>
      </c>
      <c r="K14" s="406">
        <v>11.328783164728305</v>
      </c>
      <c r="L14" s="405">
        <v>40502.540993780196</v>
      </c>
      <c r="M14" s="407">
        <v>14.075336566616075</v>
      </c>
      <c r="N14" s="405">
        <v>35023.209813776943</v>
      </c>
      <c r="O14" s="407">
        <v>11.933256467455026</v>
      </c>
      <c r="P14" s="405">
        <v>43312.625850268996</v>
      </c>
      <c r="Q14" s="407">
        <v>14.031353591531317</v>
      </c>
      <c r="R14" s="405">
        <v>36380.854191906867</v>
      </c>
      <c r="S14" s="407">
        <f t="shared" si="1"/>
        <v>12.760973271756756</v>
      </c>
      <c r="T14" s="405">
        <v>253.20359199083393</v>
      </c>
      <c r="U14" s="407">
        <f t="shared" si="1"/>
        <v>0.10057217807566278</v>
      </c>
      <c r="V14" s="405">
        <v>36101.649187775241</v>
      </c>
      <c r="W14" s="407">
        <v>12.237274976352195</v>
      </c>
      <c r="X14" s="405">
        <v>38470.293543129599</v>
      </c>
      <c r="Y14" s="407">
        <v>12.776554672823886</v>
      </c>
      <c r="Z14" s="405">
        <v>39083.011114774148</v>
      </c>
      <c r="AA14" s="407">
        <v>12.663433591943669</v>
      </c>
      <c r="AB14" s="405">
        <v>40528.15428743088</v>
      </c>
      <c r="AC14" s="407">
        <v>12.751755374572337</v>
      </c>
      <c r="AD14" s="405">
        <v>41438.857882178374</v>
      </c>
      <c r="AE14" s="407">
        <v>12.703003870303025</v>
      </c>
      <c r="AF14" s="405">
        <v>42498.156254924957</v>
      </c>
      <c r="AG14" s="407">
        <v>12.645804036834967</v>
      </c>
      <c r="AH14" s="405">
        <v>42299.586933211831</v>
      </c>
      <c r="AI14" s="407">
        <v>12.169896597508718</v>
      </c>
      <c r="AJ14" s="405">
        <v>42718.681459197032</v>
      </c>
      <c r="AK14" s="407">
        <v>11.947987325937023</v>
      </c>
      <c r="AL14" s="405">
        <v>43315.462624548119</v>
      </c>
      <c r="AM14" s="407">
        <v>11.821973386057154</v>
      </c>
      <c r="AN14" s="405">
        <v>43592.340872301836</v>
      </c>
      <c r="AO14" s="407">
        <v>11.590233692596305</v>
      </c>
      <c r="AP14" s="405">
        <v>43587.236372073319</v>
      </c>
      <c r="AQ14" s="407">
        <v>11.338284937406938</v>
      </c>
      <c r="AR14" s="408">
        <v>1.9021223256448616</v>
      </c>
    </row>
    <row r="15" spans="1:44" ht="12.75" customHeight="1">
      <c r="A15" s="251" t="s">
        <v>65</v>
      </c>
      <c r="B15" s="405">
        <v>26321.855849028929</v>
      </c>
      <c r="C15" s="406">
        <v>9.663648993172206</v>
      </c>
      <c r="D15" s="405">
        <v>25682.61512014749</v>
      </c>
      <c r="E15" s="406">
        <v>9.0669035658677561</v>
      </c>
      <c r="F15" s="405">
        <v>24579.973039696561</v>
      </c>
      <c r="G15" s="406">
        <v>8.2956055288199426</v>
      </c>
      <c r="H15" s="405">
        <v>24728.210452503015</v>
      </c>
      <c r="I15" s="406">
        <v>8.0919898116761981</v>
      </c>
      <c r="J15" s="405">
        <v>24519.171397938993</v>
      </c>
      <c r="K15" s="406">
        <v>8.1945978798099901</v>
      </c>
      <c r="L15" s="405">
        <v>26104.481733760891</v>
      </c>
      <c r="M15" s="407">
        <v>9.0717608644897272</v>
      </c>
      <c r="N15" s="405">
        <v>23423.81848863608</v>
      </c>
      <c r="O15" s="407">
        <v>7.9810626998001331</v>
      </c>
      <c r="P15" s="405">
        <v>22468.495728605212</v>
      </c>
      <c r="Q15" s="407">
        <v>7.2787876987124038</v>
      </c>
      <c r="R15" s="405">
        <v>25725.213945275322</v>
      </c>
      <c r="S15" s="407">
        <f t="shared" si="1"/>
        <v>9.0233936189137118</v>
      </c>
      <c r="T15" s="405">
        <v>25710.334215958814</v>
      </c>
      <c r="U15" s="407">
        <f t="shared" si="1"/>
        <v>10.212115439680732</v>
      </c>
      <c r="V15" s="405">
        <v>26213.054379509562</v>
      </c>
      <c r="W15" s="407">
        <v>8.885365672456679</v>
      </c>
      <c r="X15" s="405">
        <v>26502.459460143007</v>
      </c>
      <c r="Y15" s="407">
        <v>8.8018595927061245</v>
      </c>
      <c r="Z15" s="405">
        <v>26524.758876074724</v>
      </c>
      <c r="AA15" s="407">
        <v>8.594386998050819</v>
      </c>
      <c r="AB15" s="405">
        <v>27205.201515313634</v>
      </c>
      <c r="AC15" s="407">
        <v>8.5598291049443063</v>
      </c>
      <c r="AD15" s="405">
        <v>28137.152698859903</v>
      </c>
      <c r="AE15" s="407">
        <v>8.6253911883667786</v>
      </c>
      <c r="AF15" s="405">
        <v>28440.850736985125</v>
      </c>
      <c r="AG15" s="407">
        <v>8.4628947877970084</v>
      </c>
      <c r="AH15" s="405">
        <v>28350.869866639616</v>
      </c>
      <c r="AI15" s="407">
        <v>8.1567499765707936</v>
      </c>
      <c r="AJ15" s="405">
        <v>28111.527984349639</v>
      </c>
      <c r="AK15" s="407">
        <v>7.8625128069682413</v>
      </c>
      <c r="AL15" s="405">
        <v>28005.199597191233</v>
      </c>
      <c r="AM15" s="407">
        <v>7.6433842385324677</v>
      </c>
      <c r="AN15" s="405">
        <v>27919.276124972137</v>
      </c>
      <c r="AO15" s="407">
        <v>7.4231144357324084</v>
      </c>
      <c r="AP15" s="405">
        <v>27811.107963023824</v>
      </c>
      <c r="AQ15" s="407">
        <v>7.2344634061678139</v>
      </c>
      <c r="AR15" s="408">
        <v>0.59353409947751068</v>
      </c>
    </row>
    <row r="16" spans="1:44" ht="12.75" customHeight="1">
      <c r="A16" s="251" t="s">
        <v>66</v>
      </c>
      <c r="B16" s="405">
        <v>42777.313736264303</v>
      </c>
      <c r="C16" s="406">
        <v>15.705007549204126</v>
      </c>
      <c r="D16" s="405">
        <v>43556.836281517164</v>
      </c>
      <c r="E16" s="406">
        <v>15.377158141851174</v>
      </c>
      <c r="F16" s="405">
        <v>47601.037124149225</v>
      </c>
      <c r="G16" s="406">
        <v>16.065087870801442</v>
      </c>
      <c r="H16" s="405">
        <v>48128.16846426783</v>
      </c>
      <c r="I16" s="406">
        <v>15.749326042640105</v>
      </c>
      <c r="J16" s="405">
        <v>50647.557205364166</v>
      </c>
      <c r="K16" s="406">
        <v>16.927014300634934</v>
      </c>
      <c r="L16" s="405">
        <v>49666.95955475443</v>
      </c>
      <c r="M16" s="407">
        <v>17.26013121204004</v>
      </c>
      <c r="N16" s="405">
        <v>51115.997623429968</v>
      </c>
      <c r="O16" s="407">
        <v>17.416459327216373</v>
      </c>
      <c r="P16" s="405">
        <v>60389.321029749146</v>
      </c>
      <c r="Q16" s="407">
        <v>19.563439063938578</v>
      </c>
      <c r="R16" s="405">
        <v>52610.851188576045</v>
      </c>
      <c r="S16" s="407">
        <f t="shared" si="1"/>
        <v>18.453818106644135</v>
      </c>
      <c r="T16" s="405">
        <v>55121.756772854053</v>
      </c>
      <c r="U16" s="407">
        <f t="shared" si="1"/>
        <v>21.894298948979891</v>
      </c>
      <c r="V16" s="405">
        <v>51644.458000042716</v>
      </c>
      <c r="W16" s="407">
        <v>17.505777374990352</v>
      </c>
      <c r="X16" s="405">
        <v>53056.589149288462</v>
      </c>
      <c r="Y16" s="407">
        <v>17.62087963429385</v>
      </c>
      <c r="Z16" s="405">
        <v>54770.56674302974</v>
      </c>
      <c r="AA16" s="407">
        <v>17.746417559963472</v>
      </c>
      <c r="AB16" s="405">
        <v>56444.21624079856</v>
      </c>
      <c r="AC16" s="407">
        <v>17.759576039596467</v>
      </c>
      <c r="AD16" s="405">
        <v>57870.577648174942</v>
      </c>
      <c r="AE16" s="407">
        <v>17.740116629942055</v>
      </c>
      <c r="AF16" s="405">
        <v>60013.24289363165</v>
      </c>
      <c r="AG16" s="407">
        <v>17.857614920880163</v>
      </c>
      <c r="AH16" s="405">
        <v>61210.281246335064</v>
      </c>
      <c r="AI16" s="407">
        <v>17.610639901720724</v>
      </c>
      <c r="AJ16" s="405">
        <v>62510.358642534775</v>
      </c>
      <c r="AK16" s="407">
        <v>17.483521197023904</v>
      </c>
      <c r="AL16" s="405">
        <v>63441.053729448555</v>
      </c>
      <c r="AM16" s="407">
        <v>17.314797149319077</v>
      </c>
      <c r="AN16" s="405">
        <v>64689.263537663566</v>
      </c>
      <c r="AO16" s="407">
        <v>17.199436111949261</v>
      </c>
      <c r="AP16" s="405">
        <v>65607.91548302985</v>
      </c>
      <c r="AQ16" s="407">
        <v>17.066492437050108</v>
      </c>
      <c r="AR16" s="408">
        <v>2.4219998763166828</v>
      </c>
    </row>
    <row r="17" spans="1:44" ht="12.75" customHeight="1">
      <c r="A17" s="410" t="s">
        <v>67</v>
      </c>
      <c r="B17" s="411">
        <v>11092.85847729279</v>
      </c>
      <c r="C17" s="412">
        <v>4.0725658278174555</v>
      </c>
      <c r="D17" s="411">
        <v>11250.453927859013</v>
      </c>
      <c r="E17" s="412">
        <v>3.9718221979705466</v>
      </c>
      <c r="F17" s="411">
        <v>12151.329040512772</v>
      </c>
      <c r="G17" s="412">
        <v>4.1010066287783236</v>
      </c>
      <c r="H17" s="411">
        <v>12613.117323430612</v>
      </c>
      <c r="I17" s="412">
        <v>4.1274809218693758</v>
      </c>
      <c r="J17" s="411">
        <v>14191.030593503801</v>
      </c>
      <c r="K17" s="412">
        <v>4.742810730692959</v>
      </c>
      <c r="L17" s="411">
        <v>15550.668820353021</v>
      </c>
      <c r="M17" s="413">
        <v>5.4041275463695966</v>
      </c>
      <c r="N17" s="411">
        <v>17121.773925850426</v>
      </c>
      <c r="O17" s="413">
        <v>5.8338033698609042</v>
      </c>
      <c r="P17" s="411">
        <v>22384.209849675091</v>
      </c>
      <c r="Q17" s="413">
        <v>7.2514828436770626</v>
      </c>
      <c r="R17" s="411">
        <v>14379.725756163807</v>
      </c>
      <c r="S17" s="413">
        <f t="shared" si="1"/>
        <v>5.0438424304622034</v>
      </c>
      <c r="T17" s="411">
        <v>10413.255767108192</v>
      </c>
      <c r="U17" s="413">
        <f t="shared" si="1"/>
        <v>4.1361333191313481</v>
      </c>
      <c r="V17" s="411">
        <v>24642.6586104339</v>
      </c>
      <c r="W17" s="413">
        <v>8.353053014164427</v>
      </c>
      <c r="X17" s="411">
        <v>27981.104863018259</v>
      </c>
      <c r="Y17" s="413">
        <v>9.2929396467321048</v>
      </c>
      <c r="Z17" s="411">
        <v>31259.211393553698</v>
      </c>
      <c r="AA17" s="413">
        <v>10.128414785040896</v>
      </c>
      <c r="AB17" s="411">
        <v>33445.429938389898</v>
      </c>
      <c r="AC17" s="413">
        <v>10.523251020686477</v>
      </c>
      <c r="AD17" s="411">
        <v>35479.496414878842</v>
      </c>
      <c r="AE17" s="413">
        <v>10.876172831694749</v>
      </c>
      <c r="AF17" s="411">
        <v>37039.526226787602</v>
      </c>
      <c r="AG17" s="413">
        <v>11.021527321597269</v>
      </c>
      <c r="AH17" s="411">
        <v>38520.205455154079</v>
      </c>
      <c r="AI17" s="413">
        <v>11.082541256116734</v>
      </c>
      <c r="AJ17" s="411">
        <v>40188.628461878689</v>
      </c>
      <c r="AK17" s="413">
        <v>11.240356844065012</v>
      </c>
      <c r="AL17" s="411">
        <v>42105.160930827689</v>
      </c>
      <c r="AM17" s="413">
        <v>11.491648981207002</v>
      </c>
      <c r="AN17" s="411">
        <v>44527.364658132326</v>
      </c>
      <c r="AO17" s="413">
        <v>11.838835716921118</v>
      </c>
      <c r="AP17" s="411">
        <v>47009.658764302338</v>
      </c>
      <c r="AQ17" s="413">
        <v>12.228554738593893</v>
      </c>
      <c r="AR17" s="408">
        <v>6.671881128507362</v>
      </c>
    </row>
    <row r="18" spans="1:44" ht="12.75" customHeight="1" thickBot="1">
      <c r="A18" s="416" t="s">
        <v>68</v>
      </c>
      <c r="B18" s="417">
        <v>272380.09024982678</v>
      </c>
      <c r="C18" s="418">
        <v>100</v>
      </c>
      <c r="D18" s="417">
        <v>283256.73625590734</v>
      </c>
      <c r="E18" s="418">
        <v>100</v>
      </c>
      <c r="F18" s="417">
        <v>296301.13141593756</v>
      </c>
      <c r="G18" s="418">
        <v>100</v>
      </c>
      <c r="H18" s="417">
        <v>305588.74921989976</v>
      </c>
      <c r="I18" s="418">
        <v>100</v>
      </c>
      <c r="J18" s="417">
        <v>299211.40436127817</v>
      </c>
      <c r="K18" s="418">
        <v>100.00000000000001</v>
      </c>
      <c r="L18" s="417">
        <v>287755.39968148427</v>
      </c>
      <c r="M18" s="419">
        <v>100</v>
      </c>
      <c r="N18" s="417">
        <v>293492.47549731284</v>
      </c>
      <c r="O18" s="419">
        <v>100.00000000000001</v>
      </c>
      <c r="P18" s="417">
        <v>308684.58675583883</v>
      </c>
      <c r="Q18" s="419">
        <v>99.999999999999986</v>
      </c>
      <c r="R18" s="417">
        <f t="shared" ref="R18:U18" si="3">R7+R13</f>
        <v>285094.66650499805</v>
      </c>
      <c r="S18" s="419">
        <f t="shared" si="3"/>
        <v>99.999999999999986</v>
      </c>
      <c r="T18" s="417">
        <f t="shared" si="3"/>
        <v>251763.05896481927</v>
      </c>
      <c r="U18" s="419">
        <f t="shared" si="3"/>
        <v>100</v>
      </c>
      <c r="V18" s="417">
        <v>295013.79398223484</v>
      </c>
      <c r="W18" s="419">
        <v>100.00000000000003</v>
      </c>
      <c r="X18" s="417">
        <v>301100.68424750736</v>
      </c>
      <c r="Y18" s="419">
        <v>100</v>
      </c>
      <c r="Z18" s="417">
        <v>308628.86302525655</v>
      </c>
      <c r="AA18" s="419">
        <v>100</v>
      </c>
      <c r="AB18" s="417">
        <v>317824.11987173249</v>
      </c>
      <c r="AC18" s="419">
        <v>100</v>
      </c>
      <c r="AD18" s="417">
        <v>326213.06192824035</v>
      </c>
      <c r="AE18" s="419">
        <v>100</v>
      </c>
      <c r="AF18" s="417">
        <v>336065.27612744452</v>
      </c>
      <c r="AG18" s="419">
        <v>99.999999999999986</v>
      </c>
      <c r="AH18" s="417">
        <v>347575.56561220839</v>
      </c>
      <c r="AI18" s="419">
        <v>99.999999999999986</v>
      </c>
      <c r="AJ18" s="417">
        <v>357538.72425410204</v>
      </c>
      <c r="AK18" s="419">
        <v>99.999999999999986</v>
      </c>
      <c r="AL18" s="417">
        <v>366397.90337909589</v>
      </c>
      <c r="AM18" s="419">
        <v>100</v>
      </c>
      <c r="AN18" s="417">
        <v>376112.69995486003</v>
      </c>
      <c r="AO18" s="419">
        <v>100</v>
      </c>
      <c r="AP18" s="417">
        <v>384425.30429158278</v>
      </c>
      <c r="AQ18" s="419">
        <v>100</v>
      </c>
      <c r="AR18" s="420">
        <v>2.6826254409718864</v>
      </c>
    </row>
    <row r="19" spans="1:44" ht="12.75" customHeight="1">
      <c r="A19" s="377"/>
      <c r="B19" s="377"/>
      <c r="C19" s="377"/>
      <c r="D19" s="377"/>
      <c r="E19" s="377"/>
      <c r="F19" s="377"/>
      <c r="G19" s="377"/>
      <c r="H19" s="377"/>
      <c r="I19" s="377"/>
      <c r="J19" s="377"/>
      <c r="K19" s="377"/>
      <c r="L19" s="377"/>
      <c r="M19" s="377"/>
      <c r="N19" s="377"/>
      <c r="O19" s="377"/>
      <c r="P19" s="377"/>
      <c r="Q19" s="377"/>
      <c r="R19" s="377"/>
      <c r="S19" s="377"/>
      <c r="T19" s="377"/>
      <c r="U19" s="377"/>
      <c r="V19" s="377"/>
      <c r="W19" s="377"/>
      <c r="X19" s="377"/>
      <c r="Y19" s="377"/>
      <c r="Z19" s="377"/>
      <c r="AA19" s="377"/>
      <c r="AB19" s="377"/>
      <c r="AC19" s="377"/>
      <c r="AD19" s="377"/>
      <c r="AE19" s="377"/>
      <c r="AF19" s="377"/>
      <c r="AG19" s="377"/>
      <c r="AH19" s="377"/>
      <c r="AI19" s="377"/>
      <c r="AJ19" s="377"/>
      <c r="AK19" s="377"/>
      <c r="AL19" s="377"/>
      <c r="AM19" s="377"/>
      <c r="AN19" s="377"/>
      <c r="AO19" s="377"/>
      <c r="AP19" s="377"/>
      <c r="AQ19" s="377"/>
      <c r="AR19" s="377"/>
    </row>
    <row r="25" spans="1:44" ht="12.75" customHeight="1">
      <c r="A25" s="426"/>
    </row>
    <row r="26" spans="1:44" ht="12.75" customHeight="1">
      <c r="A26" s="426"/>
    </row>
    <row r="27" spans="1:44" ht="12.75" customHeight="1">
      <c r="A27" s="426"/>
    </row>
    <row r="28" spans="1:44" ht="12.75" customHeight="1">
      <c r="A28" s="426"/>
    </row>
    <row r="29" spans="1:44" ht="12.75" customHeight="1">
      <c r="A29" s="426"/>
    </row>
    <row r="30" spans="1:44" ht="12.75" customHeight="1">
      <c r="A30" s="426"/>
    </row>
    <row r="31" spans="1:44" ht="12.75" customHeight="1">
      <c r="A31" s="426"/>
    </row>
  </sheetData>
  <mergeCells count="22">
    <mergeCell ref="X5:Y5"/>
    <mergeCell ref="B5:C5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AL5:AM5"/>
    <mergeCell ref="AN5:AO5"/>
    <mergeCell ref="AP5:AQ5"/>
    <mergeCell ref="AR5:AR6"/>
    <mergeCell ref="Z5:AA5"/>
    <mergeCell ref="AB5:AC5"/>
    <mergeCell ref="AD5:AE5"/>
    <mergeCell ref="AF5:AG5"/>
    <mergeCell ref="AH5:AI5"/>
    <mergeCell ref="AJ5:AK5"/>
  </mergeCells>
  <hyperlinks>
    <hyperlink ref="A1" location="'Sumário Cap.XI'!A1" display="Voltar para Sumário" xr:uid="{66471961-5169-4EEA-8898-F10C0B2D4C31}"/>
  </hyperlink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678E"/>
  </sheetPr>
  <dimension ref="A1:G25"/>
  <sheetViews>
    <sheetView showGridLines="0" workbookViewId="0">
      <selection activeCell="F26" sqref="F26"/>
    </sheetView>
  </sheetViews>
  <sheetFormatPr defaultColWidth="8.85546875" defaultRowHeight="13.15"/>
  <cols>
    <col min="1" max="1" width="36" style="248" bestFit="1" customWidth="1"/>
    <col min="2" max="16384" width="8.85546875" style="248"/>
  </cols>
  <sheetData>
    <row r="1" spans="1:7">
      <c r="A1" s="591" t="s">
        <v>22</v>
      </c>
    </row>
    <row r="2" spans="1:7">
      <c r="A2" s="248" t="s">
        <v>74</v>
      </c>
    </row>
    <row r="3" spans="1:7" ht="13.9" thickBot="1"/>
    <row r="4" spans="1:7" ht="13.9" thickBot="1">
      <c r="A4" s="609" t="s">
        <v>75</v>
      </c>
      <c r="B4" s="611">
        <v>2021</v>
      </c>
      <c r="C4" s="611"/>
      <c r="D4" s="611">
        <v>2026</v>
      </c>
      <c r="E4" s="611"/>
      <c r="F4" s="611">
        <v>2031</v>
      </c>
      <c r="G4" s="611"/>
    </row>
    <row r="5" spans="1:7" ht="13.9" thickBot="1">
      <c r="A5" s="610"/>
      <c r="B5" s="427" t="s">
        <v>76</v>
      </c>
      <c r="C5" s="427" t="s">
        <v>56</v>
      </c>
      <c r="D5" s="427" t="s">
        <v>76</v>
      </c>
      <c r="E5" s="427" t="s">
        <v>56</v>
      </c>
      <c r="F5" s="427" t="s">
        <v>76</v>
      </c>
      <c r="G5" s="427" t="s">
        <v>56</v>
      </c>
    </row>
    <row r="6" spans="1:7">
      <c r="A6" s="428" t="s">
        <v>77</v>
      </c>
      <c r="B6" s="429">
        <v>416.07386394700001</v>
      </c>
      <c r="C6" s="429">
        <v>61.712600218709881</v>
      </c>
      <c r="D6" s="429">
        <v>489.79425190000001</v>
      </c>
      <c r="E6" s="429">
        <v>60.88126524358303</v>
      </c>
      <c r="F6" s="429">
        <v>501.72701440000003</v>
      </c>
      <c r="G6" s="429">
        <v>53.084477107415061</v>
      </c>
    </row>
    <row r="7" spans="1:7">
      <c r="A7" s="428" t="s">
        <v>78</v>
      </c>
      <c r="B7" s="429">
        <v>49.580032000000003</v>
      </c>
      <c r="C7" s="429">
        <v>7.3537728724931224</v>
      </c>
      <c r="D7" s="429">
        <v>24.506610999999999</v>
      </c>
      <c r="E7" s="429">
        <v>3.0461637283912548</v>
      </c>
      <c r="F7" s="429">
        <v>67.07991899999999</v>
      </c>
      <c r="G7" s="429">
        <v>7.0972906029011211</v>
      </c>
    </row>
    <row r="8" spans="1:7">
      <c r="A8" s="428" t="s">
        <v>79</v>
      </c>
      <c r="B8" s="429">
        <v>8.7824839999999984</v>
      </c>
      <c r="C8" s="429">
        <v>1.3026291026255261</v>
      </c>
      <c r="D8" s="429">
        <v>7.1393999999999993</v>
      </c>
      <c r="E8" s="429">
        <v>0.88742508388763042</v>
      </c>
      <c r="F8" s="429">
        <v>5.6223139999999994</v>
      </c>
      <c r="G8" s="429">
        <v>0.59486053223706814</v>
      </c>
    </row>
    <row r="9" spans="1:7">
      <c r="A9" s="428" t="s">
        <v>80</v>
      </c>
      <c r="B9" s="429">
        <v>14.292669999999998</v>
      </c>
      <c r="C9" s="429">
        <v>2.1199068391383098</v>
      </c>
      <c r="D9" s="429">
        <v>14.091700999999999</v>
      </c>
      <c r="E9" s="429">
        <v>1.7515938232966921</v>
      </c>
      <c r="F9" s="429">
        <v>33.288657000000008</v>
      </c>
      <c r="G9" s="429">
        <v>3.5220566159195679</v>
      </c>
    </row>
    <row r="10" spans="1:7">
      <c r="A10" s="428" t="s">
        <v>81</v>
      </c>
      <c r="B10" s="429">
        <v>36.216200999999998</v>
      </c>
      <c r="C10" s="429">
        <v>5.3716326052100625</v>
      </c>
      <c r="D10" s="429">
        <v>43.539681999999999</v>
      </c>
      <c r="E10" s="429">
        <v>5.411968225801993</v>
      </c>
      <c r="F10" s="429">
        <v>44.489193</v>
      </c>
      <c r="G10" s="429">
        <v>4.7071125922133934</v>
      </c>
    </row>
    <row r="11" spans="1:7">
      <c r="A11" s="428" t="s">
        <v>82</v>
      </c>
      <c r="B11" s="429">
        <v>66.772999999999996</v>
      </c>
      <c r="C11" s="429">
        <v>9.9038555686084102</v>
      </c>
      <c r="D11" s="429">
        <v>96.148300000000006</v>
      </c>
      <c r="E11" s="429">
        <v>11.951202228920225</v>
      </c>
      <c r="F11" s="429">
        <v>114.07344999999999</v>
      </c>
      <c r="G11" s="429">
        <v>12.069370935369065</v>
      </c>
    </row>
    <row r="12" spans="1:7">
      <c r="A12" s="428" t="s">
        <v>83</v>
      </c>
      <c r="B12" s="429">
        <v>6.95</v>
      </c>
      <c r="C12" s="429">
        <v>1.0308327647676225</v>
      </c>
      <c r="D12" s="429">
        <v>15.373069999999998</v>
      </c>
      <c r="E12" s="429">
        <v>1.9108675707146836</v>
      </c>
      <c r="F12" s="429">
        <v>22.404430000000001</v>
      </c>
      <c r="G12" s="429">
        <v>2.3704672407603238</v>
      </c>
    </row>
    <row r="13" spans="1:7" ht="13.9" thickBot="1">
      <c r="A13" s="430" t="s">
        <v>84</v>
      </c>
      <c r="B13" s="431">
        <v>8.8690610344174665</v>
      </c>
      <c r="C13" s="431">
        <v>1.3154703175541507</v>
      </c>
      <c r="D13" s="431">
        <v>10.791232976793053</v>
      </c>
      <c r="E13" s="431">
        <v>1.3413467279717535</v>
      </c>
      <c r="F13" s="431">
        <v>15.206296925336307</v>
      </c>
      <c r="G13" s="431">
        <v>1.6088795258252118</v>
      </c>
    </row>
    <row r="14" spans="1:7" ht="13.9" thickBot="1">
      <c r="A14" s="432" t="s">
        <v>85</v>
      </c>
      <c r="B14" s="433">
        <v>607.53731198141747</v>
      </c>
      <c r="C14" s="433">
        <v>90.110700289107086</v>
      </c>
      <c r="D14" s="433">
        <v>701.38424887679287</v>
      </c>
      <c r="E14" s="433">
        <v>87.181832632567264</v>
      </c>
      <c r="F14" s="433">
        <v>803.89127432533644</v>
      </c>
      <c r="G14" s="433">
        <v>85.054515152640818</v>
      </c>
    </row>
    <row r="15" spans="1:7" ht="13.9" thickBot="1">
      <c r="A15" s="609" t="s">
        <v>86</v>
      </c>
      <c r="B15" s="611">
        <v>2021</v>
      </c>
      <c r="C15" s="611"/>
      <c r="D15" s="611">
        <v>2026</v>
      </c>
      <c r="E15" s="611"/>
      <c r="F15" s="611">
        <v>2031</v>
      </c>
      <c r="G15" s="611"/>
    </row>
    <row r="16" spans="1:7" ht="13.9" thickBot="1">
      <c r="A16" s="610"/>
      <c r="B16" s="427" t="s">
        <v>76</v>
      </c>
      <c r="C16" s="427" t="s">
        <v>56</v>
      </c>
      <c r="D16" s="427" t="s">
        <v>76</v>
      </c>
      <c r="E16" s="427" t="s">
        <v>56</v>
      </c>
      <c r="F16" s="427" t="s">
        <v>76</v>
      </c>
      <c r="G16" s="427" t="s">
        <v>56</v>
      </c>
    </row>
    <row r="17" spans="1:7">
      <c r="A17" s="428" t="s">
        <v>87</v>
      </c>
      <c r="B17" s="434">
        <v>29.925491407326323</v>
      </c>
      <c r="C17" s="434">
        <v>4.4385866250998456</v>
      </c>
      <c r="D17" s="434">
        <v>40.412606509752379</v>
      </c>
      <c r="E17" s="434">
        <v>5.0232737655874171</v>
      </c>
      <c r="F17" s="434">
        <v>55.851337854641301</v>
      </c>
      <c r="G17" s="434">
        <v>5.9092673519060366</v>
      </c>
    </row>
    <row r="18" spans="1:7">
      <c r="A18" s="428" t="s">
        <v>88</v>
      </c>
      <c r="B18" s="434">
        <v>8.86773254792835</v>
      </c>
      <c r="C18" s="434">
        <v>1.3152732747627072</v>
      </c>
      <c r="D18" s="434">
        <v>28.564589721931323</v>
      </c>
      <c r="E18" s="434">
        <v>3.5505691556994492</v>
      </c>
      <c r="F18" s="434">
        <v>44.915870464020195</v>
      </c>
      <c r="G18" s="434">
        <v>4.7522565637775234</v>
      </c>
    </row>
    <row r="19" spans="1:7">
      <c r="A19" s="428" t="s">
        <v>82</v>
      </c>
      <c r="B19" s="435">
        <v>6.5125999880392679E-2</v>
      </c>
      <c r="C19" s="434">
        <v>9.6595704338073435E-3</v>
      </c>
      <c r="D19" s="435">
        <v>0.49699952526789626</v>
      </c>
      <c r="E19" s="434">
        <v>6.1776878365545462E-2</v>
      </c>
      <c r="F19" s="435">
        <v>1.2535103679950168</v>
      </c>
      <c r="G19" s="434">
        <v>0.13262579156379364</v>
      </c>
    </row>
    <row r="20" spans="1:7">
      <c r="A20" s="428" t="s">
        <v>89</v>
      </c>
      <c r="B20" s="434">
        <v>3.7127545155028567</v>
      </c>
      <c r="C20" s="434">
        <v>0.55068043195960936</v>
      </c>
      <c r="D20" s="434">
        <v>4.3703557154065171</v>
      </c>
      <c r="E20" s="434">
        <v>0.54323378538300326</v>
      </c>
      <c r="F20" s="434">
        <v>5.1013155078293098</v>
      </c>
      <c r="G20" s="434">
        <v>0.53973706521844078</v>
      </c>
    </row>
    <row r="21" spans="1:7" ht="13.9" thickBot="1">
      <c r="A21" s="430" t="s">
        <v>90</v>
      </c>
      <c r="B21" s="436">
        <v>24.103758164524372</v>
      </c>
      <c r="C21" s="436">
        <v>3.5750998086369514</v>
      </c>
      <c r="D21" s="436">
        <v>29.278546763883902</v>
      </c>
      <c r="E21" s="436">
        <v>3.6393137823973416</v>
      </c>
      <c r="F21" s="436">
        <v>34.134956546005611</v>
      </c>
      <c r="G21" s="436">
        <v>3.6115980748933789</v>
      </c>
    </row>
    <row r="22" spans="1:7" ht="13.9" thickBot="1">
      <c r="A22" s="437" t="s">
        <v>91</v>
      </c>
      <c r="B22" s="438">
        <v>66.674862635162299</v>
      </c>
      <c r="C22" s="438">
        <v>9.8892997108929208</v>
      </c>
      <c r="D22" s="438">
        <v>103.12309823624201</v>
      </c>
      <c r="E22" s="438">
        <v>12.818167367432757</v>
      </c>
      <c r="F22" s="438">
        <v>141.25699074049143</v>
      </c>
      <c r="G22" s="438">
        <v>14.945484847359173</v>
      </c>
    </row>
    <row r="23" spans="1:7" ht="13.9" thickBot="1">
      <c r="A23" s="437" t="s">
        <v>92</v>
      </c>
      <c r="B23" s="439">
        <v>674.21217461657977</v>
      </c>
      <c r="C23" s="439">
        <v>100</v>
      </c>
      <c r="D23" s="439">
        <v>804.50734711303494</v>
      </c>
      <c r="E23" s="439">
        <v>100.00000000000003</v>
      </c>
      <c r="F23" s="439">
        <v>945.1482650658279</v>
      </c>
      <c r="G23" s="439">
        <v>99.999999999999986</v>
      </c>
    </row>
    <row r="24" spans="1:7">
      <c r="A24" s="428" t="s">
        <v>93</v>
      </c>
    </row>
    <row r="25" spans="1:7">
      <c r="A25" s="428" t="s">
        <v>94</v>
      </c>
    </row>
  </sheetData>
  <mergeCells count="8">
    <mergeCell ref="A15:A16"/>
    <mergeCell ref="B15:C15"/>
    <mergeCell ref="D15:E15"/>
    <mergeCell ref="F15:G15"/>
    <mergeCell ref="A4:A5"/>
    <mergeCell ref="B4:C4"/>
    <mergeCell ref="D4:E4"/>
    <mergeCell ref="F4:G4"/>
  </mergeCells>
  <hyperlinks>
    <hyperlink ref="A1" location="'Sumário Cap.XI'!A1" display="Voltar para Sumário" xr:uid="{A66644E1-CB8A-4262-9E05-608182494C56}"/>
  </hyperlink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C13"/>
  <sheetViews>
    <sheetView showGridLines="0" workbookViewId="0">
      <selection activeCell="C6" sqref="C6"/>
    </sheetView>
  </sheetViews>
  <sheetFormatPr defaultColWidth="8.85546875" defaultRowHeight="12.75" customHeight="1"/>
  <cols>
    <col min="1" max="1" width="26.140625" style="248" customWidth="1"/>
    <col min="2" max="16384" width="8.85546875" style="248"/>
  </cols>
  <sheetData>
    <row r="1" spans="1:3" ht="12.75" customHeight="1">
      <c r="A1" s="591" t="s">
        <v>22</v>
      </c>
    </row>
    <row r="2" spans="1:3" ht="12.75" customHeight="1">
      <c r="A2" s="248" t="s">
        <v>95</v>
      </c>
    </row>
    <row r="4" spans="1:3" ht="12.75" customHeight="1" thickBot="1">
      <c r="A4" s="349" t="s">
        <v>43</v>
      </c>
      <c r="B4" s="349"/>
      <c r="C4" s="349"/>
    </row>
    <row r="5" spans="1:3" ht="12.75" customHeight="1">
      <c r="A5" s="534"/>
      <c r="B5" s="535">
        <v>2021</v>
      </c>
      <c r="C5" s="536">
        <v>2031</v>
      </c>
    </row>
    <row r="6" spans="1:3" ht="12.75" customHeight="1">
      <c r="A6" s="540" t="s">
        <v>89</v>
      </c>
      <c r="B6" s="541">
        <v>0.57836653621801792</v>
      </c>
      <c r="C6" s="541">
        <v>0.45174314812405308</v>
      </c>
    </row>
    <row r="7" spans="1:3" ht="12.75" customHeight="1">
      <c r="A7" s="498" t="s">
        <v>96</v>
      </c>
      <c r="B7" s="537">
        <v>7.1609995942532423E-2</v>
      </c>
      <c r="C7" s="537">
        <v>5.8616440945338327E-2</v>
      </c>
    </row>
    <row r="8" spans="1:3" ht="12.75" customHeight="1">
      <c r="A8" s="498" t="s">
        <v>97</v>
      </c>
      <c r="B8" s="537">
        <v>0.11512588973626063</v>
      </c>
      <c r="C8" s="537">
        <v>0.12</v>
      </c>
    </row>
    <row r="9" spans="1:3" ht="12.75" customHeight="1">
      <c r="A9" s="498" t="s">
        <v>80</v>
      </c>
      <c r="B9" s="537">
        <v>9.9448679898892778E-3</v>
      </c>
      <c r="C9" s="537">
        <v>0.02</v>
      </c>
    </row>
    <row r="10" spans="1:3" ht="12.75" customHeight="1">
      <c r="A10" s="498" t="s">
        <v>88</v>
      </c>
      <c r="B10" s="537">
        <v>2.2123583211678306E-2</v>
      </c>
      <c r="C10" s="537">
        <v>0.04</v>
      </c>
    </row>
    <row r="11" spans="1:3" ht="12.75" customHeight="1">
      <c r="A11" s="498" t="s">
        <v>82</v>
      </c>
      <c r="B11" s="537">
        <v>9.7948953826648671E-2</v>
      </c>
      <c r="C11" s="537">
        <v>0.11</v>
      </c>
    </row>
    <row r="12" spans="1:3" ht="12.75" customHeight="1">
      <c r="A12" s="498" t="s">
        <v>98</v>
      </c>
      <c r="B12" s="537">
        <v>7.8981272564965024E-2</v>
      </c>
      <c r="C12" s="537">
        <v>0.17</v>
      </c>
    </row>
    <row r="13" spans="1:3" ht="12.75" customHeight="1" thickBot="1">
      <c r="A13" s="538" t="s">
        <v>99</v>
      </c>
      <c r="B13" s="590">
        <v>0.03</v>
      </c>
      <c r="C13" s="539">
        <v>0.03</v>
      </c>
    </row>
  </sheetData>
  <hyperlinks>
    <hyperlink ref="A1" location="'Sumário Cap.XI'!A1" display="Voltar para Sumário" xr:uid="{CF477705-948E-4C1E-8247-E9217AC39E24}"/>
  </hyperlink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678E"/>
  </sheetPr>
  <dimension ref="A1:I18"/>
  <sheetViews>
    <sheetView showGridLines="0" zoomScaleNormal="100" workbookViewId="0">
      <selection activeCell="A18" sqref="A18"/>
    </sheetView>
  </sheetViews>
  <sheetFormatPr defaultColWidth="8.85546875" defaultRowHeight="12.75" customHeight="1"/>
  <cols>
    <col min="1" max="1" width="18.140625" style="248" bestFit="1" customWidth="1"/>
    <col min="2" max="2" width="2.5703125" style="248" customWidth="1"/>
    <col min="3" max="5" width="8.85546875" style="248"/>
    <col min="6" max="6" width="2.5703125" style="248" customWidth="1"/>
    <col min="7" max="9" width="8.85546875" style="248" customWidth="1"/>
    <col min="10" max="16384" width="8.85546875" style="248"/>
  </cols>
  <sheetData>
    <row r="1" spans="1:9" ht="12.75" customHeight="1">
      <c r="A1" s="591" t="s">
        <v>22</v>
      </c>
    </row>
    <row r="2" spans="1:9" ht="12.75" customHeight="1">
      <c r="A2" s="248" t="s">
        <v>100</v>
      </c>
    </row>
    <row r="3" spans="1:9" ht="12.75" customHeight="1" thickBot="1"/>
    <row r="4" spans="1:9" ht="12.75" customHeight="1" thickBot="1">
      <c r="A4" s="440" t="s">
        <v>101</v>
      </c>
      <c r="B4" s="441"/>
      <c r="C4" s="442">
        <v>2021</v>
      </c>
      <c r="D4" s="442">
        <v>2026</v>
      </c>
      <c r="E4" s="442">
        <v>2031</v>
      </c>
      <c r="F4" s="353"/>
      <c r="G4" s="442">
        <v>2021</v>
      </c>
      <c r="H4" s="442">
        <v>2026</v>
      </c>
      <c r="I4" s="442">
        <v>2031</v>
      </c>
    </row>
    <row r="5" spans="1:9" ht="12.75" customHeight="1" thickBot="1">
      <c r="A5" s="443"/>
      <c r="B5" s="444"/>
      <c r="C5" s="445"/>
      <c r="D5" s="445" t="s">
        <v>102</v>
      </c>
      <c r="E5" s="445"/>
      <c r="F5" s="353"/>
      <c r="G5" s="445"/>
      <c r="H5" s="445" t="s">
        <v>56</v>
      </c>
      <c r="I5" s="445"/>
    </row>
    <row r="6" spans="1:9" ht="12.75" customHeight="1" thickBot="1">
      <c r="A6" s="446" t="s">
        <v>103</v>
      </c>
      <c r="B6" s="447"/>
      <c r="C6" s="448">
        <v>179</v>
      </c>
      <c r="D6" s="448">
        <v>195</v>
      </c>
      <c r="E6" s="448">
        <v>220</v>
      </c>
      <c r="F6" s="449"/>
      <c r="G6" s="450">
        <v>0.9</v>
      </c>
      <c r="H6" s="450">
        <v>0.84</v>
      </c>
      <c r="I6" s="450">
        <v>0.8</v>
      </c>
    </row>
    <row r="7" spans="1:9" ht="12.75" customHeight="1" thickBot="1">
      <c r="A7" s="451" t="s">
        <v>104</v>
      </c>
      <c r="B7" s="452"/>
      <c r="C7" s="453">
        <v>154</v>
      </c>
      <c r="D7" s="453">
        <v>167</v>
      </c>
      <c r="E7" s="453">
        <v>181</v>
      </c>
      <c r="F7" s="454"/>
      <c r="G7" s="455">
        <v>0.77</v>
      </c>
      <c r="H7" s="455">
        <v>0.72</v>
      </c>
      <c r="I7" s="455">
        <v>0.66</v>
      </c>
    </row>
    <row r="8" spans="1:9" ht="12.75" customHeight="1" thickBot="1">
      <c r="A8" s="456" t="s">
        <v>105</v>
      </c>
      <c r="B8" s="452"/>
      <c r="C8" s="453">
        <v>25</v>
      </c>
      <c r="D8" s="453">
        <v>27</v>
      </c>
      <c r="E8" s="453">
        <v>39</v>
      </c>
      <c r="F8" s="454"/>
      <c r="G8" s="455">
        <v>0.13</v>
      </c>
      <c r="H8" s="455">
        <v>0.12</v>
      </c>
      <c r="I8" s="455">
        <v>0.14000000000000001</v>
      </c>
    </row>
    <row r="9" spans="1:9" ht="12.75" customHeight="1" thickBot="1">
      <c r="A9" s="457" t="s">
        <v>106</v>
      </c>
      <c r="B9" s="447"/>
      <c r="C9" s="448">
        <v>13</v>
      </c>
      <c r="D9" s="448">
        <v>15</v>
      </c>
      <c r="E9" s="448">
        <v>18</v>
      </c>
      <c r="F9" s="449"/>
      <c r="G9" s="450">
        <v>0.06</v>
      </c>
      <c r="H9" s="450">
        <v>7.0000000000000007E-2</v>
      </c>
      <c r="I9" s="450">
        <v>0.06</v>
      </c>
    </row>
    <row r="10" spans="1:9" ht="12.75" customHeight="1" thickBot="1">
      <c r="A10" s="456" t="s">
        <v>107</v>
      </c>
      <c r="B10" s="452"/>
      <c r="C10" s="453">
        <v>8</v>
      </c>
      <c r="D10" s="453">
        <v>9</v>
      </c>
      <c r="E10" s="453">
        <v>10</v>
      </c>
      <c r="F10" s="454"/>
      <c r="G10" s="455">
        <v>0.04</v>
      </c>
      <c r="H10" s="455">
        <v>0.04</v>
      </c>
      <c r="I10" s="455">
        <v>0.04</v>
      </c>
    </row>
    <row r="11" spans="1:9" ht="12.75" customHeight="1" thickBot="1">
      <c r="A11" s="456" t="s">
        <v>108</v>
      </c>
      <c r="B11" s="452"/>
      <c r="C11" s="453">
        <v>5</v>
      </c>
      <c r="D11" s="453">
        <v>6</v>
      </c>
      <c r="E11" s="453">
        <v>7</v>
      </c>
      <c r="F11" s="454"/>
      <c r="G11" s="455">
        <v>0.03</v>
      </c>
      <c r="H11" s="455">
        <v>0.03</v>
      </c>
      <c r="I11" s="455">
        <v>0.03</v>
      </c>
    </row>
    <row r="12" spans="1:9" ht="12.75" customHeight="1" thickBot="1">
      <c r="A12" s="457" t="s">
        <v>109</v>
      </c>
      <c r="B12" s="447"/>
      <c r="C12" s="448">
        <v>8</v>
      </c>
      <c r="D12" s="448">
        <v>23</v>
      </c>
      <c r="E12" s="448">
        <v>37</v>
      </c>
      <c r="F12" s="449"/>
      <c r="G12" s="450">
        <v>0.04</v>
      </c>
      <c r="H12" s="450">
        <v>0.1</v>
      </c>
      <c r="I12" s="450">
        <v>0.14000000000000001</v>
      </c>
    </row>
    <row r="13" spans="1:9" ht="12.75" customHeight="1" thickBot="1">
      <c r="A13" s="456" t="s">
        <v>107</v>
      </c>
      <c r="B13" s="452"/>
      <c r="C13" s="453">
        <v>8</v>
      </c>
      <c r="D13" s="453">
        <v>23</v>
      </c>
      <c r="E13" s="453">
        <v>37</v>
      </c>
      <c r="F13" s="454"/>
      <c r="G13" s="455">
        <v>0.04</v>
      </c>
      <c r="H13" s="455">
        <v>0.1</v>
      </c>
      <c r="I13" s="455">
        <v>0.14000000000000001</v>
      </c>
    </row>
    <row r="14" spans="1:9" ht="12.75" customHeight="1" thickBot="1">
      <c r="A14" s="451" t="s">
        <v>108</v>
      </c>
      <c r="B14" s="452"/>
      <c r="C14" s="453">
        <v>0</v>
      </c>
      <c r="D14" s="453">
        <v>0</v>
      </c>
      <c r="E14" s="453">
        <v>0</v>
      </c>
      <c r="F14" s="454"/>
      <c r="G14" s="455">
        <v>0</v>
      </c>
      <c r="H14" s="455">
        <v>0</v>
      </c>
      <c r="I14" s="455">
        <v>0</v>
      </c>
    </row>
    <row r="15" spans="1:9" ht="12.75" customHeight="1" thickBot="1">
      <c r="A15" s="458" t="s">
        <v>110</v>
      </c>
      <c r="B15" s="447"/>
      <c r="C15" s="459">
        <v>200</v>
      </c>
      <c r="D15" s="459">
        <v>233</v>
      </c>
      <c r="E15" s="459">
        <v>275</v>
      </c>
      <c r="F15" s="449"/>
      <c r="G15" s="551">
        <v>1</v>
      </c>
      <c r="H15" s="551">
        <v>1</v>
      </c>
      <c r="I15" s="551">
        <v>1</v>
      </c>
    </row>
    <row r="16" spans="1:9" ht="12.75" customHeight="1" thickBot="1">
      <c r="A16" s="451" t="s">
        <v>111</v>
      </c>
      <c r="B16" s="452"/>
      <c r="C16" s="453">
        <v>170</v>
      </c>
      <c r="D16" s="453">
        <v>199</v>
      </c>
      <c r="E16" s="460">
        <v>229</v>
      </c>
      <c r="F16" s="454"/>
      <c r="G16" s="461">
        <v>0.85</v>
      </c>
      <c r="H16" s="461">
        <v>0.86</v>
      </c>
      <c r="I16" s="461">
        <v>0.83</v>
      </c>
    </row>
    <row r="17" spans="1:9" ht="12.75" customHeight="1" thickBot="1">
      <c r="A17" s="462" t="s">
        <v>112</v>
      </c>
      <c r="B17" s="452"/>
      <c r="C17" s="463">
        <v>30</v>
      </c>
      <c r="D17" s="463">
        <v>34</v>
      </c>
      <c r="E17" s="463">
        <v>46</v>
      </c>
      <c r="F17" s="454"/>
      <c r="G17" s="464">
        <v>0.15</v>
      </c>
      <c r="H17" s="464">
        <v>0.14000000000000001</v>
      </c>
      <c r="I17" s="464">
        <v>0.17</v>
      </c>
    </row>
    <row r="18" spans="1:9" ht="12.75" customHeight="1">
      <c r="A18" s="465" t="s">
        <v>113</v>
      </c>
    </row>
  </sheetData>
  <hyperlinks>
    <hyperlink ref="A1" location="'Sumário Cap.XI'!A1" display="Voltar para Sumário" xr:uid="{D2199644-3005-4C20-927E-59E302FA0787}"/>
  </hyperlink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C73E3A2CF5D6943B9422A01402DB0E6" ma:contentTypeVersion="11" ma:contentTypeDescription="Crie um novo documento." ma:contentTypeScope="" ma:versionID="87cf11833480b46dcaa1c465a60431af">
  <xsd:schema xmlns:xsd="http://www.w3.org/2001/XMLSchema" xmlns:xs="http://www.w3.org/2001/XMLSchema" xmlns:p="http://schemas.microsoft.com/office/2006/metadata/properties" xmlns:ns2="9fdead52-ce65-4b63-a255-3fa30112cbfe" targetNamespace="http://schemas.microsoft.com/office/2006/metadata/properties" ma:root="true" ma:fieldsID="b2d7f52c7234025c5497a5fe2cdfefb8" ns2:_="">
    <xsd:import namespace="9fdead52-ce65-4b63-a255-3fa30112cb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dead52-ce65-4b63-a255-3fa30112cb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640DAA2-3297-4BDA-9010-5875208FAA4A}"/>
</file>

<file path=customXml/itemProps2.xml><?xml version="1.0" encoding="utf-8"?>
<ds:datastoreItem xmlns:ds="http://schemas.openxmlformats.org/officeDocument/2006/customXml" ds:itemID="{2EA310CD-8C60-46DF-81FE-34CA3A9DCCF1}"/>
</file>

<file path=customXml/itemProps3.xml><?xml version="1.0" encoding="utf-8"?>
<ds:datastoreItem xmlns:ds="http://schemas.openxmlformats.org/officeDocument/2006/customXml" ds:itemID="{B8525220-B5B6-4E7E-946A-48CFAD35DC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Empresa de Pesquisa Energética - EPE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Glaucio Faria</dc:creator>
  <cp:keywords/>
  <dc:description/>
  <cp:lastModifiedBy>Flavio Raposo de Almeida</cp:lastModifiedBy>
  <cp:revision/>
  <dcterms:created xsi:type="dcterms:W3CDTF">2010-07-12T15:04:34Z</dcterms:created>
  <dcterms:modified xsi:type="dcterms:W3CDTF">2022-05-31T22:48:49Z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0x010100EC73E3A2CF5D6943B9422A01402DB0E6</vt:lpwstr>
  </property>
</Properties>
</file>